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7400" windowHeight="1051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List1!$A$1:$E$221</definedName>
  </definedNames>
  <calcPr calcId="144525"/>
</workbook>
</file>

<file path=xl/calcChain.xml><?xml version="1.0" encoding="utf-8"?>
<calcChain xmlns="http://schemas.openxmlformats.org/spreadsheetml/2006/main">
  <c r="E126" i="1" l="1"/>
  <c r="E191" i="1" l="1"/>
  <c r="E183" i="1"/>
  <c r="E181" i="1"/>
  <c r="E180" i="1"/>
  <c r="E205" i="1" l="1"/>
  <c r="D48" i="1" l="1"/>
  <c r="E159" i="1"/>
  <c r="E132" i="1"/>
  <c r="E169" i="1"/>
  <c r="E161" i="1"/>
  <c r="E153" i="1"/>
  <c r="E147" i="1"/>
  <c r="D147" i="1"/>
  <c r="C147" i="1"/>
  <c r="E109" i="1"/>
  <c r="D106" i="1"/>
  <c r="E96" i="1"/>
  <c r="E84" i="1"/>
  <c r="E48" i="1"/>
  <c r="E26" i="1"/>
  <c r="E64" i="1"/>
  <c r="E57" i="1"/>
  <c r="E32" i="1"/>
  <c r="E63" i="1"/>
  <c r="D32" i="1"/>
  <c r="D16" i="1" l="1"/>
  <c r="C16" i="1"/>
  <c r="D171" i="1" l="1"/>
  <c r="D167" i="1"/>
  <c r="C167" i="1"/>
  <c r="D165" i="1"/>
  <c r="C165" i="1"/>
  <c r="C161" i="1"/>
  <c r="C158" i="1"/>
  <c r="D149" i="1"/>
  <c r="C149" i="1"/>
  <c r="D135" i="1"/>
  <c r="C135" i="1"/>
  <c r="D134" i="1"/>
  <c r="C134" i="1"/>
  <c r="D132" i="1"/>
  <c r="C132" i="1"/>
  <c r="D130" i="1"/>
  <c r="C130" i="1"/>
  <c r="D129" i="1"/>
  <c r="C129" i="1"/>
  <c r="C128" i="1"/>
  <c r="C126" i="1"/>
  <c r="C111" i="1"/>
  <c r="D110" i="1"/>
  <c r="D109" i="1"/>
  <c r="C109" i="1"/>
  <c r="C102" i="1"/>
  <c r="C106" i="1" s="1"/>
  <c r="D37" i="1"/>
  <c r="D12" i="1"/>
  <c r="D99" i="1" l="1"/>
  <c r="D52" i="1" l="1"/>
  <c r="E52" i="1"/>
  <c r="C52" i="1" l="1"/>
  <c r="C115" i="1" l="1"/>
  <c r="D115" i="1"/>
  <c r="C18" i="1"/>
  <c r="D18" i="1"/>
  <c r="E214" i="1" l="1"/>
  <c r="E162" i="1"/>
  <c r="E138" i="1"/>
  <c r="E115" i="1"/>
  <c r="E99" i="1"/>
  <c r="E71" i="1"/>
  <c r="E65" i="1"/>
  <c r="E42" i="1"/>
  <c r="E18" i="1"/>
  <c r="E74" i="1" l="1"/>
  <c r="E175" i="1"/>
  <c r="E106" i="1"/>
  <c r="E211" i="1" l="1"/>
  <c r="G74" i="1"/>
  <c r="E177" i="1"/>
  <c r="C205" i="1"/>
  <c r="D205" i="1"/>
  <c r="D214" i="1" s="1"/>
  <c r="D71" i="1"/>
  <c r="C175" i="1"/>
  <c r="C162" i="1"/>
  <c r="C138" i="1"/>
  <c r="C99" i="1"/>
  <c r="C71" i="1"/>
  <c r="C65" i="1"/>
  <c r="C48" i="1"/>
  <c r="C42" i="1"/>
  <c r="E208" i="1" l="1"/>
  <c r="C74" i="1"/>
  <c r="C211" i="1" s="1"/>
  <c r="E212" i="1"/>
  <c r="E213" i="1" s="1"/>
  <c r="E215" i="1" s="1"/>
  <c r="C214" i="1"/>
  <c r="C177" i="1"/>
  <c r="C212" i="1" s="1"/>
  <c r="D138" i="1"/>
  <c r="D42" i="1"/>
  <c r="D162" i="1"/>
  <c r="D175" i="1"/>
  <c r="D65" i="1"/>
  <c r="D74" i="1" s="1"/>
  <c r="D211" i="1" l="1"/>
  <c r="D208" i="1"/>
  <c r="C208" i="1"/>
  <c r="C213" i="1"/>
  <c r="C215" i="1" s="1"/>
  <c r="D177" i="1"/>
  <c r="D212" i="1" s="1"/>
  <c r="D213" i="1" l="1"/>
  <c r="D215" i="1" s="1"/>
</calcChain>
</file>

<file path=xl/sharedStrings.xml><?xml version="1.0" encoding="utf-8"?>
<sst xmlns="http://schemas.openxmlformats.org/spreadsheetml/2006/main" count="247" uniqueCount="193">
  <si>
    <t>OSNOVNA ŠKOLA IVANA GORANA KOVAČIĆA</t>
  </si>
  <si>
    <t>SVETI JURAJ NA BREGU</t>
  </si>
  <si>
    <t>PLEŠKOVEC 31, 40 311  LOPATINEC</t>
  </si>
  <si>
    <t>KONTO</t>
  </si>
  <si>
    <t>NAZIV</t>
  </si>
  <si>
    <t>IZNOS PRIMITKA</t>
  </si>
  <si>
    <t>PRIHODI IZ MINISTARSTVA (PRIMANJA RADNIKA)</t>
  </si>
  <si>
    <t>Prihod za bruto plaću</t>
  </si>
  <si>
    <t>Prihod za jubilarne nagrade</t>
  </si>
  <si>
    <t>Prihod za troškove prijevoza</t>
  </si>
  <si>
    <t>PRIHODI IZ ŽUPANIJE</t>
  </si>
  <si>
    <t>Prihod za materijalne troškove</t>
  </si>
  <si>
    <t>Prihod za energente</t>
  </si>
  <si>
    <t>Prihod za investicijsko održavanje</t>
  </si>
  <si>
    <t>Prihod za plaću asistenta</t>
  </si>
  <si>
    <t>UKUPNO PRIHODI IZ ŽUPANIJE</t>
  </si>
  <si>
    <t>PRIHODI IZ OPĆINE</t>
  </si>
  <si>
    <t>UKUPNO PRIHODI IZ OPĆINE</t>
  </si>
  <si>
    <t>PRIHODI PO POSEBNIM PROPISIMA</t>
  </si>
  <si>
    <t>Školska užina</t>
  </si>
  <si>
    <t>UKUPNO PRIHODI PO POSEBNIM PROPISIMA</t>
  </si>
  <si>
    <t>OSTALI NESPOMENUTI PRIHODI</t>
  </si>
  <si>
    <t>Pozitivna kamata banke</t>
  </si>
  <si>
    <t>UKUPNO OSTALI NESPOMENUTI RASHODI</t>
  </si>
  <si>
    <t>UKUPNO PRIHODI POSLOVANJA</t>
  </si>
  <si>
    <t>Troškovi prijevoza na službenom putu</t>
  </si>
  <si>
    <t>Kotizacija za stručno usavršavanje</t>
  </si>
  <si>
    <t>Naknada za smještaj na službenom putu</t>
  </si>
  <si>
    <t>MATERIJAL, SIROVINE, ENERGIJA</t>
  </si>
  <si>
    <t>Uredski materijal</t>
  </si>
  <si>
    <t>Energenti - plin</t>
  </si>
  <si>
    <t>Energenti - električna energija</t>
  </si>
  <si>
    <t>Sitni inventar</t>
  </si>
  <si>
    <t>Literatura, publikacije, časopisi i ostalo</t>
  </si>
  <si>
    <t>Materijal i sredstva za čišćenje</t>
  </si>
  <si>
    <t>Materijal za higijensku potrebe i njegu</t>
  </si>
  <si>
    <t>Materijal i didaktička sredstva za nastavu</t>
  </si>
  <si>
    <t>Pedagoška dokumentacija</t>
  </si>
  <si>
    <t>Ostali materijal za potrebe redovnog poslovanja</t>
  </si>
  <si>
    <t>Kuhinja nevezana za učenike</t>
  </si>
  <si>
    <t xml:space="preserve">Materijal za tekuće održavanje </t>
  </si>
  <si>
    <t>Održavanje informatičke opreme i računala</t>
  </si>
  <si>
    <t>Službena, radna i zaštitna odjeća</t>
  </si>
  <si>
    <t>UKUPNO MATERIJAL, SIROVINE, ENERGIJA</t>
  </si>
  <si>
    <t>RASHODI ZA USLUGE</t>
  </si>
  <si>
    <t>Usluge telefona i telefaksa</t>
  </si>
  <si>
    <t>Usluge interneta</t>
  </si>
  <si>
    <t>Poštarina</t>
  </si>
  <si>
    <t>Usluge mobitela</t>
  </si>
  <si>
    <t>Usluge tekućeg održavanja</t>
  </si>
  <si>
    <t>Opskrba vodom</t>
  </si>
  <si>
    <t>Dimnjačarske i ekološke usluge</t>
  </si>
  <si>
    <t>Ostale komunalne usluge</t>
  </si>
  <si>
    <t>Laboratorijske usluge</t>
  </si>
  <si>
    <t>Računalne usluge</t>
  </si>
  <si>
    <t>Grafičke i tiskarske usluge</t>
  </si>
  <si>
    <t>Ostale usluge</t>
  </si>
  <si>
    <t>UKUPNO RASHODI ZA USLUGE</t>
  </si>
  <si>
    <t>OSTALI RASHODI</t>
  </si>
  <si>
    <t>Članarine</t>
  </si>
  <si>
    <t>Nagrade učenicima</t>
  </si>
  <si>
    <t>Osiguranje učenika</t>
  </si>
  <si>
    <t>UKUPNO RASHODI ZA ZAPOSLENE</t>
  </si>
  <si>
    <t>OSTALI RASHODI IZ RADNOG ODNOSA</t>
  </si>
  <si>
    <t>UKUPNO OSTALI RASHODI ZA ZAPOSLENE</t>
  </si>
  <si>
    <t>UKUPNO MATERIJALNI RASHODI</t>
  </si>
  <si>
    <t>MATERIJALNI RASHODI - ZAPOSLENI</t>
  </si>
  <si>
    <t>UKUPNO OSTALI RASHODI</t>
  </si>
  <si>
    <t>SVEUKUPNO RASHODI</t>
  </si>
  <si>
    <t>RASHODI ZA NABAVU NEFINANCIJSKE IMOVINE</t>
  </si>
  <si>
    <t>UKUPNO RASHODI ZA NABAVU</t>
  </si>
  <si>
    <t>UTVRĐIVANJE FINANCIJSKOG REZULTATA POSLOVANJA</t>
  </si>
  <si>
    <t>UKUPNI PRIHODI</t>
  </si>
  <si>
    <t>UKUPNI RASHODI</t>
  </si>
  <si>
    <t>RAZLIKA UKUPNIH PRIHODA I RASHODA</t>
  </si>
  <si>
    <t>6 - (3+4)</t>
  </si>
  <si>
    <t>PRIHODI POSLOVANJA</t>
  </si>
  <si>
    <t>RASHODI POSLOVANJA</t>
  </si>
  <si>
    <t>Platni promet</t>
  </si>
  <si>
    <t>Ravnatelj Škole:</t>
  </si>
  <si>
    <t>Mladen Beuk, dipl.ing.</t>
  </si>
  <si>
    <t>Prihod za natjecanja</t>
  </si>
  <si>
    <t>Najam sportske dvorane</t>
  </si>
  <si>
    <t>RASHODI ZA ZAPOSLENE - MZOŠ</t>
  </si>
  <si>
    <t>Dnevnice na službenom putu</t>
  </si>
  <si>
    <t>Korištenje privatnog automobila u službene svrhe</t>
  </si>
  <si>
    <t>Izleti, ekskurzije, prijevoz učenika</t>
  </si>
  <si>
    <t>Rashodi protokola</t>
  </si>
  <si>
    <t>6-3</t>
  </si>
  <si>
    <t>POKRIVANJE ULAGANJA IZ VIŠKA PRIHODA</t>
  </si>
  <si>
    <t>Naknada zbog nezapošljavanja osoba s invaliditetom</t>
  </si>
  <si>
    <t>Škola jednakih mogućnosti</t>
  </si>
  <si>
    <t xml:space="preserve">Iznošenje i odvoz smeća </t>
  </si>
  <si>
    <t>Naknada za uređenje voda</t>
  </si>
  <si>
    <t>Zdravstveni pregledi zaposlenika</t>
  </si>
  <si>
    <t>Tinte i toneri za printere (printer u zbornici)</t>
  </si>
  <si>
    <t>Vježbenice, ispiti, priručnici i ostali troškovi učenika</t>
  </si>
  <si>
    <t xml:space="preserve">Crveni križ </t>
  </si>
  <si>
    <t>Zatezne kamate</t>
  </si>
  <si>
    <t>2016.</t>
  </si>
  <si>
    <t>PRIHODI HZZ</t>
  </si>
  <si>
    <t>Hrvatski zavod za zapošljavanje</t>
  </si>
  <si>
    <t>Deratizacija i dezinsekcija</t>
  </si>
  <si>
    <t>Ugovori o djelu</t>
  </si>
  <si>
    <t>Osposobljavanja, certifikati</t>
  </si>
  <si>
    <t>2017.</t>
  </si>
  <si>
    <t>Predsjednica Školskog odbora:</t>
  </si>
  <si>
    <t>Irena Šestak</t>
  </si>
  <si>
    <t>Plaća za zaposlene</t>
  </si>
  <si>
    <t>Bolovanje na teret poslodavca</t>
  </si>
  <si>
    <t>Prekovremeni rad</t>
  </si>
  <si>
    <t>Smjenski i dvokratni rad</t>
  </si>
  <si>
    <t>Posebni uvjeti rada</t>
  </si>
  <si>
    <t>Neiskorišteni godišnji odmor</t>
  </si>
  <si>
    <t>Korišteni godišnji odmor</t>
  </si>
  <si>
    <t>Nagrade</t>
  </si>
  <si>
    <t>Darovi za djecu</t>
  </si>
  <si>
    <t>Božićnica</t>
  </si>
  <si>
    <t>Razne pomoći</t>
  </si>
  <si>
    <t>Regres za godišnji odmor</t>
  </si>
  <si>
    <t>Obvezno zdravstveno osiguranje</t>
  </si>
  <si>
    <t>Doprinos za zapošljavanje</t>
  </si>
  <si>
    <t>Prijevoz na posao i s posla</t>
  </si>
  <si>
    <t>Školski obroci svima</t>
  </si>
  <si>
    <t>Donacije neprofitnih organizacija i trgovačkih društava</t>
  </si>
  <si>
    <t>Plaća asistenata - projekt HZZ</t>
  </si>
  <si>
    <t>Plaća asistenata - Općina / Županija</t>
  </si>
  <si>
    <t>UKUPNO PRIHODI IZ HZZ</t>
  </si>
  <si>
    <t>Sufinanciranje školske prehrane</t>
  </si>
  <si>
    <t xml:space="preserve">GODIŠNJE FINANCIJSKO IZVJEŠĆE ZA 2018. GODINU </t>
  </si>
  <si>
    <t>2018.</t>
  </si>
  <si>
    <t>Prihod za razne pomoći djelatnicima</t>
  </si>
  <si>
    <t>Regres, Božićnica, Dar djeci</t>
  </si>
  <si>
    <t>UKUPNO PRIHODI IZ MZOŠ ZA PLAĆE</t>
  </si>
  <si>
    <t>Knjižnica</t>
  </si>
  <si>
    <t>Informatička oprema</t>
  </si>
  <si>
    <t>Licence</t>
  </si>
  <si>
    <t>PRIHODI IZ PRORAČUNA (OPREMA I OSTALO)</t>
  </si>
  <si>
    <t>UKUPNO PRIHODI IZ PRORAČUNA ZA OPREMU</t>
  </si>
  <si>
    <t>POMOĆI TEMELJEM PRIJENOSA EU SREDSTAVA</t>
  </si>
  <si>
    <t>Aistenti - sporazum Općina / Županija</t>
  </si>
  <si>
    <t>Sufinanciranja</t>
  </si>
  <si>
    <t>Sufinanciranje produženog boravka</t>
  </si>
  <si>
    <t>Produženi boravak</t>
  </si>
  <si>
    <t>Školska knjižnica</t>
  </si>
  <si>
    <t>Pedagoška pratnja</t>
  </si>
  <si>
    <t>Izleti, prijevoz učenika</t>
  </si>
  <si>
    <t>ŠŠK</t>
  </si>
  <si>
    <t>Crveni križ - učenici</t>
  </si>
  <si>
    <t>Vježbenice, ispiti učenika i slično</t>
  </si>
  <si>
    <t>Crveni križ - vraćena sredstva</t>
  </si>
  <si>
    <t>Refundacija prijevoza - zborovi</t>
  </si>
  <si>
    <t>Školsko voće i mlijeko</t>
  </si>
  <si>
    <t>Školsko voće i mlijeko - PDV</t>
  </si>
  <si>
    <t>MIO I stup</t>
  </si>
  <si>
    <t>MIO II stup</t>
  </si>
  <si>
    <t>Plaća - produženi boravak</t>
  </si>
  <si>
    <t>Ostali troškovi službenih putovanja</t>
  </si>
  <si>
    <t>Rashod školske kuhinje - užina</t>
  </si>
  <si>
    <t>Rashod školske kuhinje - boravak</t>
  </si>
  <si>
    <t>Materijal za dekoraciju</t>
  </si>
  <si>
    <t>Benzin za kosilicu</t>
  </si>
  <si>
    <t>Inventar - kuhinja</t>
  </si>
  <si>
    <t>Prijevoz učenika - MZOŠ</t>
  </si>
  <si>
    <t>Ostale usluge za kominikaciju i prijevoz</t>
  </si>
  <si>
    <t>Tisak - oglasi</t>
  </si>
  <si>
    <t>Humanitarna udruga, ŠŠK</t>
  </si>
  <si>
    <t>Oprema za računala</t>
  </si>
  <si>
    <t>Monitori - 9 kom</t>
  </si>
  <si>
    <t>Računala - MZOŠ</t>
  </si>
  <si>
    <t>Računalo - 2 kom</t>
  </si>
  <si>
    <t>Ormar - ured psihologa</t>
  </si>
  <si>
    <t>Klupe i stolice</t>
  </si>
  <si>
    <t>Namještaj za učionicu</t>
  </si>
  <si>
    <t>Namještaj - boravak</t>
  </si>
  <si>
    <t>Uredska stolica</t>
  </si>
  <si>
    <t>Garderobni ormari</t>
  </si>
  <si>
    <t>Garderobni ormar - donacija</t>
  </si>
  <si>
    <t>Ledenica</t>
  </si>
  <si>
    <t>Televizor - 6 kom</t>
  </si>
  <si>
    <t>Telefon</t>
  </si>
  <si>
    <t>Hladnjak</t>
  </si>
  <si>
    <t>Pokretna skela - dvorana</t>
  </si>
  <si>
    <t>Perilica rublja</t>
  </si>
  <si>
    <t>Motorni trimer</t>
  </si>
  <si>
    <t>Geometrijski pribor</t>
  </si>
  <si>
    <t>Sjekač povrća</t>
  </si>
  <si>
    <t>Daljinski mikrofoni</t>
  </si>
  <si>
    <t>Bicikl</t>
  </si>
  <si>
    <t>Knjige u knjižnici - MZOŠ</t>
  </si>
  <si>
    <t xml:space="preserve">Knjige u knjižnici    </t>
  </si>
  <si>
    <t>Udžbenici - informatika</t>
  </si>
  <si>
    <t>UKUPNO PRIHODI IZ EU PROJEKATA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</si>
</sst>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BDDB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3" fontId="0" fillId="0" borderId="26" xfId="1" applyFont="1" applyBorder="1" applyAlignment="1">
      <alignment horizontal="center" vertical="center" wrapText="1"/>
    </xf>
    <xf numFmtId="43" fontId="0" fillId="0" borderId="24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2" fillId="2" borderId="0" xfId="0" applyNumberFormat="1" applyFont="1" applyFill="1" applyBorder="1" applyAlignment="1">
      <alignment horizontal="center" vertical="center" wrapText="1"/>
    </xf>
    <xf numFmtId="43" fontId="0" fillId="0" borderId="9" xfId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 wrapText="1"/>
    </xf>
    <xf numFmtId="43" fontId="0" fillId="0" borderId="1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28" xfId="1" applyFont="1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29" xfId="1" applyFont="1" applyBorder="1" applyAlignment="1">
      <alignment horizontal="center" vertical="center" wrapText="1"/>
    </xf>
    <xf numFmtId="43" fontId="0" fillId="0" borderId="30" xfId="1" applyFont="1" applyBorder="1" applyAlignment="1">
      <alignment horizontal="center" vertical="center" wrapText="1"/>
    </xf>
    <xf numFmtId="43" fontId="0" fillId="0" borderId="31" xfId="1" applyFont="1" applyBorder="1" applyAlignment="1">
      <alignment horizontal="center" vertical="center" wrapText="1"/>
    </xf>
    <xf numFmtId="43" fontId="0" fillId="0" borderId="33" xfId="1" applyFont="1" applyBorder="1" applyAlignment="1">
      <alignment horizontal="center" vertical="center" wrapText="1"/>
    </xf>
    <xf numFmtId="43" fontId="0" fillId="0" borderId="29" xfId="0" applyNumberFormat="1" applyBorder="1" applyAlignment="1">
      <alignment horizontal="center" vertical="center" wrapText="1"/>
    </xf>
    <xf numFmtId="43" fontId="0" fillId="0" borderId="31" xfId="0" applyNumberForma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3" fontId="0" fillId="0" borderId="34" xfId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43" fontId="0" fillId="0" borderId="14" xfId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3" fontId="0" fillId="0" borderId="38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17" xfId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3" fontId="0" fillId="0" borderId="45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3" fontId="0" fillId="0" borderId="46" xfId="1" applyFont="1" applyBorder="1" applyAlignment="1">
      <alignment horizontal="center" vertical="center" wrapText="1"/>
    </xf>
    <xf numFmtId="43" fontId="0" fillId="0" borderId="47" xfId="1" applyFont="1" applyBorder="1" applyAlignment="1">
      <alignment horizontal="center" vertical="center" wrapText="1"/>
    </xf>
    <xf numFmtId="43" fontId="0" fillId="0" borderId="49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45" xfId="1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3" fontId="2" fillId="3" borderId="27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32" xfId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43" fontId="2" fillId="3" borderId="18" xfId="0" applyNumberFormat="1" applyFont="1" applyFill="1" applyBorder="1" applyAlignment="1">
      <alignment horizontal="center" vertical="center" wrapText="1"/>
    </xf>
    <xf numFmtId="43" fontId="2" fillId="3" borderId="23" xfId="1" applyFont="1" applyFill="1" applyBorder="1" applyAlignment="1">
      <alignment horizontal="center" vertical="center" wrapText="1"/>
    </xf>
    <xf numFmtId="43" fontId="2" fillId="3" borderId="40" xfId="1" applyFont="1" applyFill="1" applyBorder="1" applyAlignment="1">
      <alignment horizontal="center" vertical="center" wrapText="1"/>
    </xf>
    <xf numFmtId="43" fontId="2" fillId="3" borderId="43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3" fontId="2" fillId="3" borderId="32" xfId="0" applyNumberFormat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vertical="center" wrapText="1"/>
    </xf>
    <xf numFmtId="43" fontId="2" fillId="3" borderId="16" xfId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3" fontId="0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3" fontId="0" fillId="0" borderId="21" xfId="1" applyFont="1" applyBorder="1" applyAlignment="1">
      <alignment horizontal="center" vertical="center" wrapText="1"/>
    </xf>
    <xf numFmtId="43" fontId="0" fillId="0" borderId="23" xfId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0" fillId="0" borderId="48" xfId="1" applyFont="1" applyBorder="1" applyAlignment="1">
      <alignment horizontal="center" vertical="center" wrapText="1"/>
    </xf>
    <xf numFmtId="43" fontId="0" fillId="0" borderId="50" xfId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43" fontId="0" fillId="0" borderId="22" xfId="1" applyFont="1" applyBorder="1" applyAlignment="1">
      <alignment horizontal="center" vertical="center" wrapText="1"/>
    </xf>
    <xf numFmtId="43" fontId="0" fillId="0" borderId="21" xfId="1" applyFont="1" applyBorder="1" applyAlignment="1">
      <alignment horizontal="center" vertical="center" wrapText="1"/>
    </xf>
    <xf numFmtId="43" fontId="0" fillId="0" borderId="23" xfId="1" applyFont="1" applyBorder="1" applyAlignment="1">
      <alignment horizontal="center" vertical="center" wrapText="1"/>
    </xf>
    <xf numFmtId="43" fontId="1" fillId="0" borderId="21" xfId="1" applyFont="1" applyFill="1" applyBorder="1" applyAlignment="1">
      <alignment horizontal="center" vertical="center" wrapText="1"/>
    </xf>
    <xf numFmtId="43" fontId="1" fillId="0" borderId="2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E3BD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tabSelected="1" topLeftCell="A25" workbookViewId="0">
      <selection activeCell="A33" sqref="A33"/>
    </sheetView>
  </sheetViews>
  <sheetFormatPr defaultRowHeight="15" x14ac:dyDescent="0.25"/>
  <cols>
    <col min="1" max="1" width="8" customWidth="1"/>
    <col min="2" max="2" width="37.140625" customWidth="1"/>
    <col min="3" max="5" width="15" customWidth="1"/>
    <col min="6" max="6" width="14" bestFit="1" customWidth="1"/>
    <col min="7" max="7" width="16" bestFit="1" customWidth="1"/>
  </cols>
  <sheetData>
    <row r="1" spans="1:7" x14ac:dyDescent="0.25">
      <c r="A1" t="s">
        <v>0</v>
      </c>
    </row>
    <row r="2" spans="1:7" ht="14.45" x14ac:dyDescent="0.3">
      <c r="A2" t="s">
        <v>1</v>
      </c>
    </row>
    <row r="3" spans="1:7" x14ac:dyDescent="0.25">
      <c r="A3" t="s">
        <v>2</v>
      </c>
    </row>
    <row r="4" spans="1:7" s="1" customFormat="1" ht="6" customHeight="1" x14ac:dyDescent="0.3"/>
    <row r="5" spans="1:7" s="1" customFormat="1" ht="22.5" customHeight="1" x14ac:dyDescent="0.25">
      <c r="A5" s="186" t="s">
        <v>129</v>
      </c>
      <c r="B5" s="186"/>
      <c r="C5" s="186"/>
      <c r="D5" s="186"/>
      <c r="E5" s="186"/>
    </row>
    <row r="6" spans="1:7" s="11" customFormat="1" ht="11.25" customHeight="1" x14ac:dyDescent="0.3">
      <c r="A6" s="15"/>
      <c r="B6" s="15"/>
      <c r="C6" s="15"/>
      <c r="D6" s="15"/>
    </row>
    <row r="7" spans="1:7" s="11" customFormat="1" ht="22.5" customHeight="1" x14ac:dyDescent="0.3">
      <c r="A7" s="186" t="s">
        <v>76</v>
      </c>
      <c r="B7" s="186"/>
      <c r="C7" s="186"/>
      <c r="D7" s="186"/>
      <c r="E7" s="186"/>
    </row>
    <row r="8" spans="1:7" s="1" customFormat="1" ht="13.5" customHeight="1" thickBot="1" x14ac:dyDescent="0.35"/>
    <row r="9" spans="1:7" s="1" customFormat="1" ht="22.5" customHeight="1" x14ac:dyDescent="0.25">
      <c r="A9" s="168" t="s">
        <v>3</v>
      </c>
      <c r="B9" s="161" t="s">
        <v>4</v>
      </c>
      <c r="C9" s="161" t="s">
        <v>5</v>
      </c>
      <c r="D9" s="161"/>
      <c r="E9" s="162"/>
    </row>
    <row r="10" spans="1:7" s="1" customFormat="1" ht="22.5" customHeight="1" x14ac:dyDescent="0.25">
      <c r="A10" s="169"/>
      <c r="B10" s="170"/>
      <c r="C10" s="104" t="s">
        <v>99</v>
      </c>
      <c r="D10" s="104" t="s">
        <v>105</v>
      </c>
      <c r="E10" s="105" t="s">
        <v>130</v>
      </c>
    </row>
    <row r="11" spans="1:7" s="1" customFormat="1" ht="22.5" customHeight="1" thickBot="1" x14ac:dyDescent="0.3">
      <c r="A11" s="163" t="s">
        <v>6</v>
      </c>
      <c r="B11" s="164"/>
      <c r="C11" s="164"/>
      <c r="D11" s="164"/>
      <c r="E11" s="165"/>
    </row>
    <row r="12" spans="1:7" s="1" customFormat="1" ht="22.5" customHeight="1" x14ac:dyDescent="0.25">
      <c r="A12" s="29">
        <v>636111</v>
      </c>
      <c r="B12" s="5" t="s">
        <v>7</v>
      </c>
      <c r="C12" s="44">
        <v>5213879.3899999997</v>
      </c>
      <c r="D12" s="44">
        <f>5276293.47-8012.35</f>
        <v>5268281.12</v>
      </c>
      <c r="E12" s="50">
        <v>5475047.5999999996</v>
      </c>
    </row>
    <row r="13" spans="1:7" s="93" customFormat="1" ht="22.5" customHeight="1" x14ac:dyDescent="0.25">
      <c r="A13" s="92">
        <v>636112</v>
      </c>
      <c r="B13" s="4" t="s">
        <v>9</v>
      </c>
      <c r="C13" s="68">
        <v>250123.75</v>
      </c>
      <c r="D13" s="68">
        <v>247257.02</v>
      </c>
      <c r="E13" s="52">
        <v>249620.19</v>
      </c>
    </row>
    <row r="14" spans="1:7" s="93" customFormat="1" ht="22.5" customHeight="1" x14ac:dyDescent="0.25">
      <c r="A14" s="91">
        <v>636113</v>
      </c>
      <c r="B14" s="12" t="s">
        <v>8</v>
      </c>
      <c r="C14" s="48">
        <v>18248.240000000002</v>
      </c>
      <c r="D14" s="48">
        <v>25383.31</v>
      </c>
      <c r="E14" s="51">
        <v>29125.1</v>
      </c>
    </row>
    <row r="15" spans="1:7" s="1" customFormat="1" ht="22.5" customHeight="1" x14ac:dyDescent="0.25">
      <c r="A15" s="3">
        <v>636114</v>
      </c>
      <c r="B15" s="12" t="s">
        <v>131</v>
      </c>
      <c r="C15" s="48">
        <v>36820.480000000003</v>
      </c>
      <c r="D15" s="48">
        <v>24016.21</v>
      </c>
      <c r="E15" s="51">
        <v>3710.1</v>
      </c>
      <c r="F15" s="6"/>
      <c r="G15" s="6"/>
    </row>
    <row r="16" spans="1:7" s="1" customFormat="1" ht="22.5" customHeight="1" x14ac:dyDescent="0.25">
      <c r="A16" s="3">
        <v>636115</v>
      </c>
      <c r="B16" s="12" t="s">
        <v>132</v>
      </c>
      <c r="C16" s="48">
        <f>6288.67+25000+63750</f>
        <v>95038.67</v>
      </c>
      <c r="D16" s="48">
        <f>8012.35+22500+135481.37</f>
        <v>165993.72</v>
      </c>
      <c r="E16" s="51">
        <v>146250</v>
      </c>
    </row>
    <row r="17" spans="1:5" s="1" customFormat="1" ht="22.5" customHeight="1" thickBot="1" x14ac:dyDescent="0.3">
      <c r="A17" s="91">
        <v>636116</v>
      </c>
      <c r="B17" s="128" t="s">
        <v>90</v>
      </c>
      <c r="C17" s="48">
        <v>22409.74</v>
      </c>
      <c r="D17" s="48">
        <v>23493.599999999999</v>
      </c>
      <c r="E17" s="51">
        <v>24668.28</v>
      </c>
    </row>
    <row r="18" spans="1:5" s="1" customFormat="1" ht="22.5" customHeight="1" thickBot="1" x14ac:dyDescent="0.3">
      <c r="A18" s="152" t="s">
        <v>133</v>
      </c>
      <c r="B18" s="153"/>
      <c r="C18" s="106">
        <f>SUM(C12:C17)</f>
        <v>5636520.2700000005</v>
      </c>
      <c r="D18" s="107">
        <f>SUM(D12:D17)</f>
        <v>5754424.9799999986</v>
      </c>
      <c r="E18" s="108">
        <f>SUM(E12:E17)</f>
        <v>5928421.2699999996</v>
      </c>
    </row>
    <row r="19" spans="1:5" s="93" customFormat="1" ht="22.5" customHeight="1" thickBot="1" x14ac:dyDescent="0.3">
      <c r="A19" s="94"/>
      <c r="B19" s="94"/>
      <c r="C19" s="23"/>
      <c r="D19" s="23"/>
      <c r="E19" s="23"/>
    </row>
    <row r="20" spans="1:5" s="93" customFormat="1" ht="22.5" customHeight="1" thickBot="1" x14ac:dyDescent="0.3">
      <c r="A20" s="152" t="s">
        <v>137</v>
      </c>
      <c r="B20" s="154"/>
      <c r="C20" s="109" t="s">
        <v>99</v>
      </c>
      <c r="D20" s="136" t="s">
        <v>105</v>
      </c>
      <c r="E20" s="111" t="s">
        <v>130</v>
      </c>
    </row>
    <row r="21" spans="1:5" s="93" customFormat="1" ht="22.5" customHeight="1" x14ac:dyDescent="0.25">
      <c r="A21" s="187">
        <v>636117</v>
      </c>
      <c r="B21" s="5" t="s">
        <v>134</v>
      </c>
      <c r="C21" s="44">
        <v>0</v>
      </c>
      <c r="D21" s="44">
        <v>0</v>
      </c>
      <c r="E21" s="50">
        <v>4000</v>
      </c>
    </row>
    <row r="22" spans="1:5" s="93" customFormat="1" ht="22.5" customHeight="1" x14ac:dyDescent="0.25">
      <c r="A22" s="166"/>
      <c r="B22" s="4" t="s">
        <v>135</v>
      </c>
      <c r="C22" s="68">
        <v>0</v>
      </c>
      <c r="D22" s="68">
        <v>0</v>
      </c>
      <c r="E22" s="52">
        <v>39000</v>
      </c>
    </row>
    <row r="23" spans="1:5" s="124" customFormat="1" ht="22.5" customHeight="1" x14ac:dyDescent="0.25">
      <c r="A23" s="159"/>
      <c r="B23" s="12" t="s">
        <v>136</v>
      </c>
      <c r="C23" s="48">
        <v>0</v>
      </c>
      <c r="D23" s="48">
        <v>0</v>
      </c>
      <c r="E23" s="51">
        <v>1800</v>
      </c>
    </row>
    <row r="24" spans="1:5" s="124" customFormat="1" ht="22.5" customHeight="1" x14ac:dyDescent="0.25">
      <c r="A24" s="127">
        <v>636119</v>
      </c>
      <c r="B24" s="12" t="s">
        <v>151</v>
      </c>
      <c r="C24" s="48">
        <v>0</v>
      </c>
      <c r="D24" s="48">
        <v>0</v>
      </c>
      <c r="E24" s="51">
        <v>1450</v>
      </c>
    </row>
    <row r="25" spans="1:5" s="93" customFormat="1" ht="22.5" customHeight="1" thickBot="1" x14ac:dyDescent="0.3">
      <c r="A25" s="126">
        <v>63612</v>
      </c>
      <c r="B25" s="12" t="s">
        <v>153</v>
      </c>
      <c r="C25" s="48">
        <v>0</v>
      </c>
      <c r="D25" s="48">
        <v>0</v>
      </c>
      <c r="E25" s="51">
        <v>2577.86</v>
      </c>
    </row>
    <row r="26" spans="1:5" s="93" customFormat="1" ht="22.5" customHeight="1" thickBot="1" x14ac:dyDescent="0.3">
      <c r="A26" s="152" t="s">
        <v>138</v>
      </c>
      <c r="B26" s="153"/>
      <c r="C26" s="106">
        <v>0</v>
      </c>
      <c r="D26" s="107">
        <v>0</v>
      </c>
      <c r="E26" s="108">
        <f>E21+E22++E23+E24+E25</f>
        <v>48827.86</v>
      </c>
    </row>
    <row r="27" spans="1:5" s="93" customFormat="1" ht="22.5" customHeight="1" thickBot="1" x14ac:dyDescent="0.3">
      <c r="A27" s="94"/>
      <c r="B27" s="94"/>
      <c r="C27" s="23"/>
      <c r="D27" s="23"/>
      <c r="E27" s="23"/>
    </row>
    <row r="28" spans="1:5" s="93" customFormat="1" ht="22.5" customHeight="1" thickBot="1" x14ac:dyDescent="0.3">
      <c r="A28" s="152" t="s">
        <v>139</v>
      </c>
      <c r="B28" s="154"/>
      <c r="C28" s="109" t="s">
        <v>99</v>
      </c>
      <c r="D28" s="144" t="s">
        <v>105</v>
      </c>
      <c r="E28" s="111" t="s">
        <v>130</v>
      </c>
    </row>
    <row r="29" spans="1:5" s="124" customFormat="1" ht="22.5" customHeight="1" x14ac:dyDescent="0.25">
      <c r="A29" s="146">
        <v>63811</v>
      </c>
      <c r="B29" s="12" t="s">
        <v>152</v>
      </c>
      <c r="C29" s="48">
        <v>0</v>
      </c>
      <c r="D29" s="48">
        <v>0</v>
      </c>
      <c r="E29" s="51">
        <v>16209.5</v>
      </c>
    </row>
    <row r="30" spans="1:5" s="93" customFormat="1" ht="22.5" customHeight="1" x14ac:dyDescent="0.25">
      <c r="A30" s="145">
        <v>63812</v>
      </c>
      <c r="B30" s="5" t="s">
        <v>91</v>
      </c>
      <c r="C30" s="69">
        <v>0</v>
      </c>
      <c r="D30" s="69">
        <v>0</v>
      </c>
      <c r="E30" s="50">
        <v>36211.949999999997</v>
      </c>
    </row>
    <row r="31" spans="1:5" s="93" customFormat="1" ht="22.5" customHeight="1" thickBot="1" x14ac:dyDescent="0.3">
      <c r="A31" s="146">
        <v>63813</v>
      </c>
      <c r="B31" s="4" t="s">
        <v>123</v>
      </c>
      <c r="C31" s="68">
        <v>0</v>
      </c>
      <c r="D31" s="68">
        <v>5408.72</v>
      </c>
      <c r="E31" s="52">
        <v>4628.3999999999996</v>
      </c>
    </row>
    <row r="32" spans="1:5" s="93" customFormat="1" ht="22.5" customHeight="1" thickBot="1" x14ac:dyDescent="0.3">
      <c r="A32" s="152" t="s">
        <v>192</v>
      </c>
      <c r="B32" s="153"/>
      <c r="C32" s="106">
        <v>0</v>
      </c>
      <c r="D32" s="107">
        <f>D31</f>
        <v>5408.72</v>
      </c>
      <c r="E32" s="108">
        <f>E29+E30+E31</f>
        <v>57049.85</v>
      </c>
    </row>
    <row r="33" spans="1:6" s="1" customFormat="1" ht="22.5" customHeight="1" thickBot="1" x14ac:dyDescent="0.3">
      <c r="A33" s="7"/>
      <c r="B33" s="7"/>
      <c r="C33" s="8"/>
      <c r="D33" s="8"/>
    </row>
    <row r="34" spans="1:6" s="1" customFormat="1" ht="22.5" customHeight="1" thickBot="1" x14ac:dyDescent="0.3">
      <c r="A34" s="152" t="s">
        <v>10</v>
      </c>
      <c r="B34" s="154"/>
      <c r="C34" s="109" t="s">
        <v>99</v>
      </c>
      <c r="D34" s="137" t="s">
        <v>105</v>
      </c>
      <c r="E34" s="111" t="s">
        <v>130</v>
      </c>
    </row>
    <row r="35" spans="1:6" s="93" customFormat="1" ht="22.5" customHeight="1" x14ac:dyDescent="0.25">
      <c r="A35" s="139">
        <v>671120</v>
      </c>
      <c r="B35" s="31" t="s">
        <v>11</v>
      </c>
      <c r="C35" s="69">
        <v>187962</v>
      </c>
      <c r="D35" s="69">
        <v>202171</v>
      </c>
      <c r="E35" s="50">
        <v>268528</v>
      </c>
    </row>
    <row r="36" spans="1:6" s="93" customFormat="1" ht="22.5" customHeight="1" x14ac:dyDescent="0.25">
      <c r="A36" s="140">
        <v>671121</v>
      </c>
      <c r="B36" s="32" t="s">
        <v>12</v>
      </c>
      <c r="C36" s="48">
        <v>226981.11</v>
      </c>
      <c r="D36" s="48">
        <v>300299.63</v>
      </c>
      <c r="E36" s="51">
        <v>238194.11</v>
      </c>
    </row>
    <row r="37" spans="1:6" s="1" customFormat="1" ht="22.5" customHeight="1" x14ac:dyDescent="0.25">
      <c r="A37" s="140">
        <v>671122</v>
      </c>
      <c r="B37" s="32" t="s">
        <v>13</v>
      </c>
      <c r="C37" s="48">
        <v>33823</v>
      </c>
      <c r="D37" s="48">
        <f>85096-54000</f>
        <v>31096</v>
      </c>
      <c r="E37" s="51">
        <v>31632</v>
      </c>
      <c r="F37" s="42"/>
    </row>
    <row r="38" spans="1:6" s="1" customFormat="1" ht="22.5" customHeight="1" thickBot="1" x14ac:dyDescent="0.3">
      <c r="A38" s="16">
        <v>671123</v>
      </c>
      <c r="B38" s="149" t="s">
        <v>81</v>
      </c>
      <c r="C38" s="18">
        <v>0</v>
      </c>
      <c r="D38" s="18">
        <v>1319.99</v>
      </c>
      <c r="E38" s="53">
        <v>915</v>
      </c>
    </row>
    <row r="39" spans="1:6" s="93" customFormat="1" ht="22.5" customHeight="1" x14ac:dyDescent="0.25">
      <c r="A39" s="9">
        <v>671123</v>
      </c>
      <c r="B39" s="150" t="s">
        <v>141</v>
      </c>
      <c r="C39" s="44">
        <v>30000</v>
      </c>
      <c r="D39" s="44">
        <v>54000</v>
      </c>
      <c r="E39" s="61">
        <v>0</v>
      </c>
    </row>
    <row r="40" spans="1:6" s="65" customFormat="1" ht="22.5" customHeight="1" x14ac:dyDescent="0.25">
      <c r="A40" s="140">
        <v>671124</v>
      </c>
      <c r="B40" s="32" t="s">
        <v>140</v>
      </c>
      <c r="C40" s="48">
        <v>7313.28</v>
      </c>
      <c r="D40" s="48">
        <v>36976.43</v>
      </c>
      <c r="E40" s="51">
        <v>54150.43</v>
      </c>
    </row>
    <row r="41" spans="1:6" s="1" customFormat="1" ht="22.5" customHeight="1" thickBot="1" x14ac:dyDescent="0.3">
      <c r="A41" s="141">
        <v>671125</v>
      </c>
      <c r="B41" s="71" t="s">
        <v>91</v>
      </c>
      <c r="C41" s="143">
        <v>107581.56</v>
      </c>
      <c r="D41" s="143">
        <v>37723.82</v>
      </c>
      <c r="E41" s="72">
        <v>2503.0700000000002</v>
      </c>
    </row>
    <row r="42" spans="1:6" s="1" customFormat="1" ht="22.5" customHeight="1" thickBot="1" x14ac:dyDescent="0.3">
      <c r="A42" s="152" t="s">
        <v>15</v>
      </c>
      <c r="B42" s="154"/>
      <c r="C42" s="107">
        <f>SUM(C35:C41)</f>
        <v>593660.94999999995</v>
      </c>
      <c r="D42" s="107">
        <f>SUM(D35:D41)</f>
        <v>663586.87</v>
      </c>
      <c r="E42" s="112">
        <f>SUM(E35:E41)</f>
        <v>595922.61</v>
      </c>
    </row>
    <row r="43" spans="1:6" s="1" customFormat="1" ht="22.5" customHeight="1" thickBot="1" x14ac:dyDescent="0.3">
      <c r="A43" s="7"/>
      <c r="B43" s="7"/>
      <c r="C43" s="8"/>
      <c r="D43" s="8"/>
    </row>
    <row r="44" spans="1:6" s="1" customFormat="1" ht="22.5" customHeight="1" thickBot="1" x14ac:dyDescent="0.3">
      <c r="A44" s="152" t="s">
        <v>16</v>
      </c>
      <c r="B44" s="154"/>
      <c r="C44" s="109" t="s">
        <v>99</v>
      </c>
      <c r="D44" s="110" t="s">
        <v>105</v>
      </c>
      <c r="E44" s="111" t="s">
        <v>130</v>
      </c>
    </row>
    <row r="45" spans="1:6" s="1" customFormat="1" ht="22.5" customHeight="1" x14ac:dyDescent="0.25">
      <c r="A45" s="29">
        <v>636131</v>
      </c>
      <c r="B45" s="5" t="s">
        <v>128</v>
      </c>
      <c r="C45" s="44">
        <v>12645</v>
      </c>
      <c r="D45" s="44">
        <v>23615</v>
      </c>
      <c r="E45" s="50">
        <v>24120</v>
      </c>
    </row>
    <row r="46" spans="1:6" s="124" customFormat="1" ht="22.5" customHeight="1" x14ac:dyDescent="0.25">
      <c r="A46" s="127">
        <v>636132</v>
      </c>
      <c r="B46" s="12" t="s">
        <v>14</v>
      </c>
      <c r="C46" s="48">
        <v>7713.28</v>
      </c>
      <c r="D46" s="48">
        <v>36976.1</v>
      </c>
      <c r="E46" s="51">
        <v>54150.43</v>
      </c>
    </row>
    <row r="47" spans="1:6" s="1" customFormat="1" ht="22.5" customHeight="1" thickBot="1" x14ac:dyDescent="0.3">
      <c r="A47" s="129">
        <v>636133</v>
      </c>
      <c r="B47" s="5" t="s">
        <v>142</v>
      </c>
      <c r="C47" s="123">
        <v>0</v>
      </c>
      <c r="D47" s="123">
        <v>0</v>
      </c>
      <c r="E47" s="50">
        <v>32400</v>
      </c>
    </row>
    <row r="48" spans="1:6" s="1" customFormat="1" ht="22.5" customHeight="1" thickBot="1" x14ac:dyDescent="0.3">
      <c r="A48" s="156" t="s">
        <v>17</v>
      </c>
      <c r="B48" s="157"/>
      <c r="C48" s="107">
        <f>SUM(C45:C47)</f>
        <v>20358.28</v>
      </c>
      <c r="D48" s="106">
        <f>D45+D46+D47</f>
        <v>60591.1</v>
      </c>
      <c r="E48" s="112">
        <f>E45+E46+E47</f>
        <v>110670.43</v>
      </c>
    </row>
    <row r="49" spans="1:5" s="65" customFormat="1" ht="22.5" customHeight="1" thickBot="1" x14ac:dyDescent="0.3">
      <c r="A49" s="66"/>
      <c r="B49" s="66"/>
      <c r="C49" s="23"/>
      <c r="D49" s="23"/>
      <c r="E49" s="23"/>
    </row>
    <row r="50" spans="1:5" s="65" customFormat="1" ht="22.5" customHeight="1" thickBot="1" x14ac:dyDescent="0.3">
      <c r="A50" s="152" t="s">
        <v>100</v>
      </c>
      <c r="B50" s="154"/>
      <c r="C50" s="109" t="s">
        <v>99</v>
      </c>
      <c r="D50" s="110" t="s">
        <v>105</v>
      </c>
      <c r="E50" s="111" t="s">
        <v>130</v>
      </c>
    </row>
    <row r="51" spans="1:5" s="65" customFormat="1" ht="22.5" customHeight="1" thickBot="1" x14ac:dyDescent="0.3">
      <c r="A51" s="36">
        <v>63414</v>
      </c>
      <c r="B51" s="5" t="s">
        <v>101</v>
      </c>
      <c r="C51" s="83">
        <v>61830.44</v>
      </c>
      <c r="D51" s="83">
        <v>14115.84</v>
      </c>
      <c r="E51" s="50">
        <v>7314.24</v>
      </c>
    </row>
    <row r="52" spans="1:5" s="1" customFormat="1" ht="22.9" customHeight="1" thickBot="1" x14ac:dyDescent="0.3">
      <c r="A52" s="156" t="s">
        <v>127</v>
      </c>
      <c r="B52" s="157"/>
      <c r="C52" s="107">
        <f>SUM(C51:C51)</f>
        <v>61830.44</v>
      </c>
      <c r="D52" s="106">
        <f>D51</f>
        <v>14115.84</v>
      </c>
      <c r="E52" s="112">
        <f>E51</f>
        <v>7314.24</v>
      </c>
    </row>
    <row r="53" spans="1:5" s="73" customFormat="1" ht="23.45" customHeight="1" thickBot="1" x14ac:dyDescent="0.3">
      <c r="A53" s="66"/>
      <c r="B53" s="66"/>
      <c r="C53" s="23"/>
      <c r="D53" s="23"/>
      <c r="E53" s="23"/>
    </row>
    <row r="54" spans="1:5" s="1" customFormat="1" ht="22.5" customHeight="1" thickBot="1" x14ac:dyDescent="0.3">
      <c r="A54" s="156" t="s">
        <v>18</v>
      </c>
      <c r="B54" s="157"/>
      <c r="C54" s="109" t="s">
        <v>99</v>
      </c>
      <c r="D54" s="110" t="s">
        <v>105</v>
      </c>
      <c r="E54" s="111" t="s">
        <v>130</v>
      </c>
    </row>
    <row r="55" spans="1:5" s="1" customFormat="1" ht="22.5" customHeight="1" x14ac:dyDescent="0.25">
      <c r="A55" s="36">
        <v>6526401</v>
      </c>
      <c r="B55" s="5" t="s">
        <v>144</v>
      </c>
      <c r="C55" s="173">
        <v>287267.99</v>
      </c>
      <c r="D55" s="173">
        <v>277866.40000000002</v>
      </c>
      <c r="E55" s="50">
        <v>5940</v>
      </c>
    </row>
    <row r="56" spans="1:5" s="1" customFormat="1" ht="22.5" customHeight="1" x14ac:dyDescent="0.25">
      <c r="A56" s="64">
        <v>6526402</v>
      </c>
      <c r="B56" s="12" t="s">
        <v>145</v>
      </c>
      <c r="C56" s="174"/>
      <c r="D56" s="174"/>
      <c r="E56" s="51">
        <v>510</v>
      </c>
    </row>
    <row r="57" spans="1:5" s="1" customFormat="1" ht="22.5" customHeight="1" x14ac:dyDescent="0.25">
      <c r="A57" s="64">
        <v>6526403</v>
      </c>
      <c r="B57" s="12" t="s">
        <v>146</v>
      </c>
      <c r="C57" s="174"/>
      <c r="D57" s="174"/>
      <c r="E57" s="51">
        <f>12640+1500</f>
        <v>14140</v>
      </c>
    </row>
    <row r="58" spans="1:5" s="1" customFormat="1" ht="22.5" customHeight="1" x14ac:dyDescent="0.25">
      <c r="A58" s="64">
        <v>6526410</v>
      </c>
      <c r="B58" s="12" t="s">
        <v>147</v>
      </c>
      <c r="C58" s="174"/>
      <c r="D58" s="174"/>
      <c r="E58" s="51">
        <v>4465</v>
      </c>
    </row>
    <row r="59" spans="1:5" s="1" customFormat="1" ht="22.5" customHeight="1" x14ac:dyDescent="0.25">
      <c r="A59" s="64">
        <v>6526414</v>
      </c>
      <c r="B59" s="12" t="s">
        <v>148</v>
      </c>
      <c r="C59" s="174"/>
      <c r="D59" s="174"/>
      <c r="E59" s="51">
        <v>3636</v>
      </c>
    </row>
    <row r="60" spans="1:5" s="124" customFormat="1" ht="22.5" customHeight="1" x14ac:dyDescent="0.25">
      <c r="A60" s="127">
        <v>6526415</v>
      </c>
      <c r="B60" s="12" t="s">
        <v>61</v>
      </c>
      <c r="C60" s="174"/>
      <c r="D60" s="174"/>
      <c r="E60" s="51">
        <v>11520</v>
      </c>
    </row>
    <row r="61" spans="1:5" s="124" customFormat="1" ht="22.5" customHeight="1" x14ac:dyDescent="0.25">
      <c r="A61" s="127">
        <v>6526416</v>
      </c>
      <c r="B61" s="12" t="s">
        <v>19</v>
      </c>
      <c r="C61" s="174"/>
      <c r="D61" s="174"/>
      <c r="E61" s="51">
        <v>252147.5</v>
      </c>
    </row>
    <row r="62" spans="1:5" s="1" customFormat="1" ht="22.5" customHeight="1" x14ac:dyDescent="0.25">
      <c r="A62" s="64">
        <v>6526417</v>
      </c>
      <c r="B62" s="58" t="s">
        <v>143</v>
      </c>
      <c r="C62" s="174"/>
      <c r="D62" s="174"/>
      <c r="E62" s="51">
        <v>30420</v>
      </c>
    </row>
    <row r="63" spans="1:5" s="124" customFormat="1" ht="22.5" customHeight="1" x14ac:dyDescent="0.25">
      <c r="A63" s="127">
        <v>6526419</v>
      </c>
      <c r="B63" s="30" t="s">
        <v>149</v>
      </c>
      <c r="C63" s="174"/>
      <c r="D63" s="174"/>
      <c r="E63" s="51">
        <f>5770+381.95</f>
        <v>6151.95</v>
      </c>
    </row>
    <row r="64" spans="1:5" s="1" customFormat="1" ht="22.5" customHeight="1" thickBot="1" x14ac:dyDescent="0.3">
      <c r="A64" s="64">
        <v>6526421</v>
      </c>
      <c r="B64" s="12" t="s">
        <v>150</v>
      </c>
      <c r="C64" s="174"/>
      <c r="D64" s="174"/>
      <c r="E64" s="51">
        <f>2139.36+1878</f>
        <v>4017.36</v>
      </c>
    </row>
    <row r="65" spans="1:7" s="1" customFormat="1" ht="22.5" customHeight="1" thickBot="1" x14ac:dyDescent="0.3">
      <c r="A65" s="156" t="s">
        <v>20</v>
      </c>
      <c r="B65" s="157"/>
      <c r="C65" s="107">
        <f>SUM(C55:C64)</f>
        <v>287267.99</v>
      </c>
      <c r="D65" s="107">
        <f>SUM(D55:D64)</f>
        <v>277866.40000000002</v>
      </c>
      <c r="E65" s="108">
        <f>SUM(E55:E64)</f>
        <v>332947.81</v>
      </c>
    </row>
    <row r="66" spans="1:7" s="1" customFormat="1" ht="22.5" customHeight="1" thickBot="1" x14ac:dyDescent="0.3">
      <c r="A66" s="7"/>
      <c r="B66" s="7"/>
      <c r="C66" s="8"/>
      <c r="D66" s="8"/>
    </row>
    <row r="67" spans="1:7" s="1" customFormat="1" ht="22.5" customHeight="1" thickBot="1" x14ac:dyDescent="0.3">
      <c r="A67" s="156" t="s">
        <v>21</v>
      </c>
      <c r="B67" s="157"/>
      <c r="C67" s="110" t="s">
        <v>99</v>
      </c>
      <c r="D67" s="110" t="s">
        <v>105</v>
      </c>
      <c r="E67" s="111" t="s">
        <v>130</v>
      </c>
    </row>
    <row r="68" spans="1:7" s="1" customFormat="1" ht="22.5" customHeight="1" x14ac:dyDescent="0.25">
      <c r="A68" s="29">
        <v>64132</v>
      </c>
      <c r="B68" s="5" t="s">
        <v>22</v>
      </c>
      <c r="C68" s="173">
        <v>43904.42</v>
      </c>
      <c r="D68" s="173">
        <v>65669.97</v>
      </c>
      <c r="E68" s="50">
        <v>1051.46</v>
      </c>
    </row>
    <row r="69" spans="1:7" s="28" customFormat="1" ht="22.5" customHeight="1" x14ac:dyDescent="0.25">
      <c r="A69" s="25">
        <v>66151</v>
      </c>
      <c r="B69" s="4" t="s">
        <v>82</v>
      </c>
      <c r="C69" s="174"/>
      <c r="D69" s="174"/>
      <c r="E69" s="52">
        <v>62510</v>
      </c>
    </row>
    <row r="70" spans="1:7" s="1" customFormat="1" ht="22.5" customHeight="1" thickBot="1" x14ac:dyDescent="0.3">
      <c r="A70" s="25">
        <v>66313</v>
      </c>
      <c r="B70" s="57" t="s">
        <v>124</v>
      </c>
      <c r="C70" s="175"/>
      <c r="D70" s="175"/>
      <c r="E70" s="52">
        <v>2125</v>
      </c>
    </row>
    <row r="71" spans="1:7" s="1" customFormat="1" ht="22.5" customHeight="1" thickBot="1" x14ac:dyDescent="0.3">
      <c r="A71" s="156" t="s">
        <v>23</v>
      </c>
      <c r="B71" s="157"/>
      <c r="C71" s="107">
        <f>SUM(C68:C70)</f>
        <v>43904.42</v>
      </c>
      <c r="D71" s="107">
        <f>SUM(D68:D70)</f>
        <v>65669.97</v>
      </c>
      <c r="E71" s="108">
        <f>SUM(E68:E70)</f>
        <v>65686.459999999992</v>
      </c>
    </row>
    <row r="72" spans="1:7" s="11" customFormat="1" ht="22.5" customHeight="1" x14ac:dyDescent="0.25">
      <c r="A72" s="22"/>
      <c r="B72" s="22"/>
      <c r="C72" s="23"/>
      <c r="D72" s="23"/>
    </row>
    <row r="73" spans="1:7" s="1" customFormat="1" ht="9" customHeight="1" thickBot="1" x14ac:dyDescent="0.3">
      <c r="A73" s="7"/>
      <c r="B73" s="7"/>
      <c r="C73" s="8"/>
      <c r="D73" s="8"/>
    </row>
    <row r="74" spans="1:7" s="1" customFormat="1" ht="22.5" customHeight="1" thickBot="1" x14ac:dyDescent="0.3">
      <c r="A74" s="156" t="s">
        <v>24</v>
      </c>
      <c r="B74" s="157"/>
      <c r="C74" s="107">
        <f>C71+C65+C48+C42+C18+C52</f>
        <v>6643542.3500000006</v>
      </c>
      <c r="D74" s="107">
        <f>D71+D65+D48+D42+D18+D52+D32</f>
        <v>6841663.879999998</v>
      </c>
      <c r="E74" s="113">
        <f>E71+E65+E52+E48+E42+E32+E26+E18</f>
        <v>7146840.5299999993</v>
      </c>
      <c r="F74" s="6"/>
      <c r="G74" s="6">
        <f>7146840.53-E74</f>
        <v>0</v>
      </c>
    </row>
    <row r="75" spans="1:7" s="7" customFormat="1" ht="12.75" customHeight="1" x14ac:dyDescent="0.25">
      <c r="C75" s="8"/>
      <c r="D75" s="8"/>
    </row>
    <row r="76" spans="1:7" s="7" customFormat="1" ht="22.5" customHeight="1" x14ac:dyDescent="0.25">
      <c r="A76" s="155" t="s">
        <v>77</v>
      </c>
      <c r="B76" s="155"/>
      <c r="C76" s="8"/>
      <c r="D76" s="8"/>
    </row>
    <row r="77" spans="1:7" s="7" customFormat="1" ht="18" customHeight="1" thickBot="1" x14ac:dyDescent="0.3">
      <c r="C77" s="8"/>
      <c r="D77" s="8"/>
    </row>
    <row r="78" spans="1:7" s="1" customFormat="1" ht="22.5" customHeight="1" x14ac:dyDescent="0.25">
      <c r="A78" s="168" t="s">
        <v>3</v>
      </c>
      <c r="B78" s="161" t="s">
        <v>4</v>
      </c>
      <c r="C78" s="161" t="s">
        <v>5</v>
      </c>
      <c r="D78" s="161"/>
      <c r="E78" s="162"/>
    </row>
    <row r="79" spans="1:7" s="1" customFormat="1" ht="22.5" customHeight="1" x14ac:dyDescent="0.25">
      <c r="A79" s="169"/>
      <c r="B79" s="170"/>
      <c r="C79" s="104" t="s">
        <v>99</v>
      </c>
      <c r="D79" s="104" t="s">
        <v>105</v>
      </c>
      <c r="E79" s="105" t="s">
        <v>130</v>
      </c>
    </row>
    <row r="80" spans="1:7" s="28" customFormat="1" ht="22.5" customHeight="1" thickBot="1" x14ac:dyDescent="0.3">
      <c r="A80" s="163" t="s">
        <v>83</v>
      </c>
      <c r="B80" s="164"/>
      <c r="C80" s="164"/>
      <c r="D80" s="164"/>
      <c r="E80" s="165"/>
    </row>
    <row r="81" spans="1:7" s="1" customFormat="1" ht="22.5" customHeight="1" x14ac:dyDescent="0.25">
      <c r="A81" s="9">
        <v>31111</v>
      </c>
      <c r="B81" s="75" t="s">
        <v>108</v>
      </c>
      <c r="C81" s="173">
        <v>5636520.2699999996</v>
      </c>
      <c r="D81" s="173">
        <v>5754424.9800000004</v>
      </c>
      <c r="E81" s="61">
        <v>3037616.8</v>
      </c>
      <c r="G81" s="6"/>
    </row>
    <row r="82" spans="1:7" s="28" customFormat="1" ht="22.5" customHeight="1" x14ac:dyDescent="0.25">
      <c r="A82" s="36">
        <v>31118</v>
      </c>
      <c r="B82" s="12" t="s">
        <v>109</v>
      </c>
      <c r="C82" s="174"/>
      <c r="D82" s="174"/>
      <c r="E82" s="51">
        <v>47156.62</v>
      </c>
      <c r="G82" s="6"/>
    </row>
    <row r="83" spans="1:7" s="28" customFormat="1" ht="22.5" customHeight="1" x14ac:dyDescent="0.25">
      <c r="A83" s="36">
        <v>31131</v>
      </c>
      <c r="B83" s="12" t="s">
        <v>110</v>
      </c>
      <c r="C83" s="174"/>
      <c r="D83" s="174"/>
      <c r="E83" s="51">
        <v>19535.86</v>
      </c>
      <c r="G83" s="6"/>
    </row>
    <row r="84" spans="1:7" s="28" customFormat="1" ht="22.5" customHeight="1" x14ac:dyDescent="0.25">
      <c r="A84" s="36">
        <v>31132</v>
      </c>
      <c r="B84" s="12" t="s">
        <v>111</v>
      </c>
      <c r="C84" s="174"/>
      <c r="D84" s="174"/>
      <c r="E84" s="51">
        <f>92798.25+977.32</f>
        <v>93775.57</v>
      </c>
      <c r="G84" s="6"/>
    </row>
    <row r="85" spans="1:7" s="28" customFormat="1" ht="22.5" customHeight="1" x14ac:dyDescent="0.25">
      <c r="A85" s="36">
        <v>31141</v>
      </c>
      <c r="B85" s="12" t="s">
        <v>112</v>
      </c>
      <c r="C85" s="174"/>
      <c r="D85" s="174"/>
      <c r="E85" s="51">
        <v>26083.22</v>
      </c>
      <c r="G85" s="6"/>
    </row>
    <row r="86" spans="1:7" s="28" customFormat="1" ht="22.5" customHeight="1" x14ac:dyDescent="0.25">
      <c r="A86" s="36">
        <v>31151</v>
      </c>
      <c r="B86" s="4" t="s">
        <v>113</v>
      </c>
      <c r="C86" s="174"/>
      <c r="D86" s="174"/>
      <c r="E86" s="51">
        <v>3429.14</v>
      </c>
      <c r="G86" s="6"/>
    </row>
    <row r="87" spans="1:7" s="49" customFormat="1" ht="22.5" customHeight="1" x14ac:dyDescent="0.25">
      <c r="A87" s="67">
        <v>31152</v>
      </c>
      <c r="B87" s="4" t="s">
        <v>114</v>
      </c>
      <c r="C87" s="174"/>
      <c r="D87" s="174"/>
      <c r="E87" s="51">
        <v>509636.33</v>
      </c>
      <c r="G87" s="6"/>
    </row>
    <row r="88" spans="1:7" s="81" customFormat="1" ht="22.5" customHeight="1" x14ac:dyDescent="0.25">
      <c r="A88" s="70">
        <v>31212</v>
      </c>
      <c r="B88" s="4" t="s">
        <v>115</v>
      </c>
      <c r="C88" s="174"/>
      <c r="D88" s="174"/>
      <c r="E88" s="52">
        <v>27662.76</v>
      </c>
      <c r="G88" s="6"/>
    </row>
    <row r="89" spans="1:7" s="81" customFormat="1" ht="22.5" customHeight="1" x14ac:dyDescent="0.25">
      <c r="A89" s="12">
        <v>31213</v>
      </c>
      <c r="B89" s="4" t="s">
        <v>116</v>
      </c>
      <c r="C89" s="174"/>
      <c r="D89" s="174"/>
      <c r="E89" s="52">
        <v>20000</v>
      </c>
      <c r="G89" s="6"/>
    </row>
    <row r="90" spans="1:7" s="81" customFormat="1" ht="22.5" customHeight="1" x14ac:dyDescent="0.25">
      <c r="A90" s="12">
        <v>312132</v>
      </c>
      <c r="B90" s="4" t="s">
        <v>117</v>
      </c>
      <c r="C90" s="174"/>
      <c r="D90" s="174"/>
      <c r="E90" s="52">
        <v>63750</v>
      </c>
      <c r="G90" s="6"/>
    </row>
    <row r="91" spans="1:7" s="81" customFormat="1" ht="22.5" customHeight="1" x14ac:dyDescent="0.25">
      <c r="A91" s="12">
        <v>31215</v>
      </c>
      <c r="B91" s="4" t="s">
        <v>118</v>
      </c>
      <c r="C91" s="174"/>
      <c r="D91" s="174"/>
      <c r="E91" s="52">
        <v>3326</v>
      </c>
      <c r="G91" s="6"/>
    </row>
    <row r="92" spans="1:7" s="81" customFormat="1" ht="22.5" customHeight="1" x14ac:dyDescent="0.25">
      <c r="A92" s="12">
        <v>31216</v>
      </c>
      <c r="B92" s="4" t="s">
        <v>119</v>
      </c>
      <c r="C92" s="174"/>
      <c r="D92" s="174"/>
      <c r="E92" s="52">
        <v>62500</v>
      </c>
      <c r="G92" s="6"/>
    </row>
    <row r="93" spans="1:7" s="124" customFormat="1" ht="22.5" customHeight="1" x14ac:dyDescent="0.25">
      <c r="A93" s="12">
        <v>31311</v>
      </c>
      <c r="B93" s="4" t="s">
        <v>154</v>
      </c>
      <c r="C93" s="174"/>
      <c r="D93" s="174"/>
      <c r="E93" s="52">
        <v>710293.16</v>
      </c>
      <c r="G93" s="6"/>
    </row>
    <row r="94" spans="1:7" s="124" customFormat="1" ht="22.5" customHeight="1" x14ac:dyDescent="0.25">
      <c r="A94" s="12">
        <v>31312</v>
      </c>
      <c r="B94" s="4" t="s">
        <v>155</v>
      </c>
      <c r="C94" s="174"/>
      <c r="D94" s="174"/>
      <c r="E94" s="52">
        <v>225008.17</v>
      </c>
      <c r="G94" s="6"/>
    </row>
    <row r="95" spans="1:7" s="81" customFormat="1" ht="22.5" customHeight="1" x14ac:dyDescent="0.25">
      <c r="A95" s="12">
        <v>31321</v>
      </c>
      <c r="B95" s="4" t="s">
        <v>120</v>
      </c>
      <c r="C95" s="174"/>
      <c r="D95" s="174"/>
      <c r="E95" s="52">
        <v>724858.49</v>
      </c>
      <c r="G95" s="6"/>
    </row>
    <row r="96" spans="1:7" s="81" customFormat="1" ht="22.5" customHeight="1" x14ac:dyDescent="0.25">
      <c r="A96" s="12">
        <v>31331</v>
      </c>
      <c r="B96" s="4" t="s">
        <v>121</v>
      </c>
      <c r="C96" s="174"/>
      <c r="D96" s="174"/>
      <c r="E96" s="52">
        <f>72903.74+6596.94</f>
        <v>79500.680000000008</v>
      </c>
      <c r="G96" s="6"/>
    </row>
    <row r="97" spans="1:7" s="81" customFormat="1" ht="22.5" customHeight="1" x14ac:dyDescent="0.25">
      <c r="A97" s="12">
        <v>31333</v>
      </c>
      <c r="B97" s="57" t="s">
        <v>90</v>
      </c>
      <c r="C97" s="174"/>
      <c r="D97" s="174"/>
      <c r="E97" s="52">
        <v>24668.28</v>
      </c>
      <c r="G97" s="6"/>
    </row>
    <row r="98" spans="1:7" s="28" customFormat="1" ht="22.5" customHeight="1" thickBot="1" x14ac:dyDescent="0.3">
      <c r="A98" s="63">
        <v>32121</v>
      </c>
      <c r="B98" s="84" t="s">
        <v>122</v>
      </c>
      <c r="C98" s="175"/>
      <c r="D98" s="175"/>
      <c r="E98" s="53">
        <v>249620.19</v>
      </c>
      <c r="G98" s="6"/>
    </row>
    <row r="99" spans="1:7" s="1" customFormat="1" ht="22.5" customHeight="1" thickBot="1" x14ac:dyDescent="0.3">
      <c r="A99" s="171" t="s">
        <v>62</v>
      </c>
      <c r="B99" s="172"/>
      <c r="C99" s="114">
        <f>SUM(C81:C98)</f>
        <v>5636520.2699999996</v>
      </c>
      <c r="D99" s="115">
        <f>D81</f>
        <v>5754424.9800000004</v>
      </c>
      <c r="E99" s="116">
        <f>SUM(E81:E98)</f>
        <v>5928421.2700000005</v>
      </c>
      <c r="F99" s="6"/>
      <c r="G99" s="6"/>
    </row>
    <row r="100" spans="1:7" s="11" customFormat="1" ht="22.5" customHeight="1" thickBot="1" x14ac:dyDescent="0.3">
      <c r="A100" s="13"/>
      <c r="B100" s="13"/>
      <c r="C100" s="14"/>
      <c r="D100" s="14"/>
      <c r="F100" s="6"/>
    </row>
    <row r="101" spans="1:7" s="11" customFormat="1" ht="22.5" customHeight="1" thickBot="1" x14ac:dyDescent="0.3">
      <c r="A101" s="156" t="s">
        <v>63</v>
      </c>
      <c r="B101" s="157"/>
      <c r="C101" s="110" t="s">
        <v>99</v>
      </c>
      <c r="D101" s="110" t="s">
        <v>105</v>
      </c>
      <c r="E101" s="117" t="s">
        <v>130</v>
      </c>
      <c r="F101" s="6"/>
    </row>
    <row r="102" spans="1:7" s="11" customFormat="1" ht="22.5" customHeight="1" x14ac:dyDescent="0.25">
      <c r="A102" s="158">
        <v>31112</v>
      </c>
      <c r="B102" s="58" t="s">
        <v>91</v>
      </c>
      <c r="C102" s="48">
        <f>76882.62+2350</f>
        <v>79232.62</v>
      </c>
      <c r="D102" s="48">
        <v>37723.82</v>
      </c>
      <c r="E102" s="51">
        <v>38715.019999999997</v>
      </c>
    </row>
    <row r="103" spans="1:7" s="87" customFormat="1" ht="22.5" customHeight="1" x14ac:dyDescent="0.25">
      <c r="A103" s="166"/>
      <c r="B103" s="59" t="s">
        <v>125</v>
      </c>
      <c r="C103" s="68">
        <v>45079.68</v>
      </c>
      <c r="D103" s="68">
        <v>85968.88</v>
      </c>
      <c r="E103" s="52">
        <v>14897.03</v>
      </c>
    </row>
    <row r="104" spans="1:7" s="124" customFormat="1" ht="22.5" customHeight="1" x14ac:dyDescent="0.25">
      <c r="A104" s="166"/>
      <c r="B104" s="59" t="s">
        <v>156</v>
      </c>
      <c r="C104" s="68">
        <v>0</v>
      </c>
      <c r="D104" s="68">
        <v>0</v>
      </c>
      <c r="E104" s="52">
        <v>36235.56</v>
      </c>
      <c r="G104" s="6"/>
    </row>
    <row r="105" spans="1:7" s="1" customFormat="1" ht="22.5" customHeight="1" thickBot="1" x14ac:dyDescent="0.3">
      <c r="A105" s="167"/>
      <c r="B105" s="4" t="s">
        <v>126</v>
      </c>
      <c r="C105" s="18">
        <v>0</v>
      </c>
      <c r="D105" s="18">
        <v>22154.48</v>
      </c>
      <c r="E105" s="52">
        <v>108300.85</v>
      </c>
      <c r="G105" s="6"/>
    </row>
    <row r="106" spans="1:7" s="1" customFormat="1" ht="22.5" customHeight="1" thickBot="1" x14ac:dyDescent="0.3">
      <c r="A106" s="156" t="s">
        <v>64</v>
      </c>
      <c r="B106" s="157"/>
      <c r="C106" s="107">
        <f>C102+C103+C105</f>
        <v>124312.29999999999</v>
      </c>
      <c r="D106" s="107">
        <f>D102+D103+D105</f>
        <v>145847.18000000002</v>
      </c>
      <c r="E106" s="112">
        <f>SUM(E102:E105)</f>
        <v>198148.46</v>
      </c>
    </row>
    <row r="107" spans="1:7" s="10" customFormat="1" ht="27.75" customHeight="1" thickBot="1" x14ac:dyDescent="0.3">
      <c r="A107" s="7"/>
      <c r="B107" s="7"/>
      <c r="C107" s="8"/>
      <c r="D107" s="8"/>
    </row>
    <row r="108" spans="1:7" s="1" customFormat="1" ht="22.5" customHeight="1" thickBot="1" x14ac:dyDescent="0.3">
      <c r="A108" s="152" t="s">
        <v>66</v>
      </c>
      <c r="B108" s="154"/>
      <c r="C108" s="137" t="s">
        <v>99</v>
      </c>
      <c r="D108" s="137" t="s">
        <v>105</v>
      </c>
      <c r="E108" s="117" t="s">
        <v>130</v>
      </c>
    </row>
    <row r="109" spans="1:7" s="10" customFormat="1" ht="22.5" customHeight="1" x14ac:dyDescent="0.25">
      <c r="A109" s="139">
        <v>32111</v>
      </c>
      <c r="B109" s="5" t="s">
        <v>84</v>
      </c>
      <c r="C109" s="69">
        <f>6150+6450</f>
        <v>12600</v>
      </c>
      <c r="D109" s="44">
        <f>6470+4930</f>
        <v>11400</v>
      </c>
      <c r="E109" s="50">
        <f>13090+375</f>
        <v>13465</v>
      </c>
    </row>
    <row r="110" spans="1:7" s="10" customFormat="1" ht="22.5" customHeight="1" thickBot="1" x14ac:dyDescent="0.3">
      <c r="A110" s="16">
        <v>32113</v>
      </c>
      <c r="B110" s="17" t="s">
        <v>27</v>
      </c>
      <c r="C110" s="18">
        <v>5372.5</v>
      </c>
      <c r="D110" s="18">
        <f>4962.26+132</f>
        <v>5094.26</v>
      </c>
      <c r="E110" s="53">
        <v>7896</v>
      </c>
      <c r="G110" s="6"/>
    </row>
    <row r="111" spans="1:7" s="10" customFormat="1" ht="22.5" customHeight="1" x14ac:dyDescent="0.25">
      <c r="A111" s="9">
        <v>32115</v>
      </c>
      <c r="B111" s="75" t="s">
        <v>25</v>
      </c>
      <c r="C111" s="44">
        <f>5801+54</f>
        <v>5855</v>
      </c>
      <c r="D111" s="44">
        <v>3572.7</v>
      </c>
      <c r="E111" s="61">
        <v>4095.1</v>
      </c>
    </row>
    <row r="112" spans="1:7" s="124" customFormat="1" ht="22.5" customHeight="1" x14ac:dyDescent="0.25">
      <c r="A112" s="140">
        <v>32119</v>
      </c>
      <c r="B112" s="12" t="s">
        <v>157</v>
      </c>
      <c r="C112" s="48">
        <v>0</v>
      </c>
      <c r="D112" s="48">
        <v>0</v>
      </c>
      <c r="E112" s="51">
        <v>2964</v>
      </c>
    </row>
    <row r="113" spans="1:7" s="124" customFormat="1" ht="22.5" customHeight="1" x14ac:dyDescent="0.25">
      <c r="A113" s="140">
        <v>32131</v>
      </c>
      <c r="B113" s="12" t="s">
        <v>26</v>
      </c>
      <c r="C113" s="48">
        <v>4410</v>
      </c>
      <c r="D113" s="48">
        <v>1095</v>
      </c>
      <c r="E113" s="51">
        <v>2520</v>
      </c>
    </row>
    <row r="114" spans="1:7" s="35" customFormat="1" ht="22.5" customHeight="1" thickBot="1" x14ac:dyDescent="0.3">
      <c r="A114" s="141">
        <v>32141</v>
      </c>
      <c r="B114" s="130" t="s">
        <v>85</v>
      </c>
      <c r="C114" s="142">
        <v>6945</v>
      </c>
      <c r="D114" s="142">
        <v>8136</v>
      </c>
      <c r="E114" s="72">
        <v>3771</v>
      </c>
    </row>
    <row r="115" spans="1:7" s="10" customFormat="1" ht="22.5" customHeight="1" thickBot="1" x14ac:dyDescent="0.3">
      <c r="A115" s="156" t="s">
        <v>65</v>
      </c>
      <c r="B115" s="157"/>
      <c r="C115" s="107">
        <f>SUM(C109:C114)</f>
        <v>35182.5</v>
      </c>
      <c r="D115" s="107">
        <f>SUM(D109:D114)</f>
        <v>29297.960000000003</v>
      </c>
      <c r="E115" s="112">
        <f>SUM(E109:E114)</f>
        <v>34711.1</v>
      </c>
    </row>
    <row r="116" spans="1:7" s="10" customFormat="1" ht="15.75" customHeight="1" thickBot="1" x14ac:dyDescent="0.3">
      <c r="A116" s="7"/>
      <c r="B116" s="7"/>
      <c r="C116" s="8"/>
      <c r="D116" s="8"/>
    </row>
    <row r="117" spans="1:7" s="10" customFormat="1" ht="22.5" customHeight="1" thickBot="1" x14ac:dyDescent="0.3">
      <c r="A117" s="152" t="s">
        <v>28</v>
      </c>
      <c r="B117" s="154"/>
      <c r="C117" s="110" t="s">
        <v>99</v>
      </c>
      <c r="D117" s="110" t="s">
        <v>105</v>
      </c>
      <c r="E117" s="117" t="s">
        <v>130</v>
      </c>
    </row>
    <row r="118" spans="1:7" s="10" customFormat="1" ht="22.5" customHeight="1" x14ac:dyDescent="0.25">
      <c r="A118" s="36">
        <v>32211</v>
      </c>
      <c r="B118" s="5" t="s">
        <v>29</v>
      </c>
      <c r="C118" s="69">
        <v>9251.6</v>
      </c>
      <c r="D118" s="44">
        <v>8551.31</v>
      </c>
      <c r="E118" s="50">
        <v>10299.89</v>
      </c>
    </row>
    <row r="119" spans="1:7" s="10" customFormat="1" ht="22.5" customHeight="1" x14ac:dyDescent="0.25">
      <c r="A119" s="76">
        <v>32212</v>
      </c>
      <c r="B119" s="12" t="s">
        <v>33</v>
      </c>
      <c r="C119" s="48">
        <v>4215.01</v>
      </c>
      <c r="D119" s="48">
        <v>2850</v>
      </c>
      <c r="E119" s="51">
        <v>2772.4</v>
      </c>
    </row>
    <row r="120" spans="1:7" s="10" customFormat="1" ht="22.5" customHeight="1" x14ac:dyDescent="0.25">
      <c r="A120" s="88">
        <v>32214</v>
      </c>
      <c r="B120" s="12" t="s">
        <v>34</v>
      </c>
      <c r="C120" s="48">
        <v>14730.04</v>
      </c>
      <c r="D120" s="48">
        <v>9844.65</v>
      </c>
      <c r="E120" s="51">
        <v>13032.9</v>
      </c>
    </row>
    <row r="121" spans="1:7" s="10" customFormat="1" ht="22.5" customHeight="1" x14ac:dyDescent="0.25">
      <c r="A121" s="36">
        <v>32216</v>
      </c>
      <c r="B121" s="5" t="s">
        <v>35</v>
      </c>
      <c r="C121" s="69">
        <v>10178.56</v>
      </c>
      <c r="D121" s="69">
        <v>13271.57</v>
      </c>
      <c r="E121" s="50">
        <v>11563.55</v>
      </c>
    </row>
    <row r="122" spans="1:7" s="10" customFormat="1" ht="22.5" customHeight="1" x14ac:dyDescent="0.25">
      <c r="A122" s="76">
        <v>32217</v>
      </c>
      <c r="B122" s="12" t="s">
        <v>36</v>
      </c>
      <c r="C122" s="48">
        <v>5949.34</v>
      </c>
      <c r="D122" s="48">
        <v>7732.75</v>
      </c>
      <c r="E122" s="51">
        <v>5252</v>
      </c>
    </row>
    <row r="123" spans="1:7" s="10" customFormat="1" ht="22.5" customHeight="1" x14ac:dyDescent="0.25">
      <c r="A123" s="76">
        <v>32218</v>
      </c>
      <c r="B123" s="12" t="s">
        <v>37</v>
      </c>
      <c r="C123" s="48">
        <v>1733.5</v>
      </c>
      <c r="D123" s="48">
        <v>1267.3</v>
      </c>
      <c r="E123" s="51">
        <v>1823.55</v>
      </c>
    </row>
    <row r="124" spans="1:7" s="10" customFormat="1" ht="22.5" customHeight="1" x14ac:dyDescent="0.25">
      <c r="A124" s="36">
        <v>32219</v>
      </c>
      <c r="B124" s="79" t="s">
        <v>38</v>
      </c>
      <c r="C124" s="69">
        <v>3244.82</v>
      </c>
      <c r="D124" s="69">
        <v>2295.6799999999998</v>
      </c>
      <c r="E124" s="50">
        <v>3057.6</v>
      </c>
      <c r="G124" s="6"/>
    </row>
    <row r="125" spans="1:7" s="124" customFormat="1" ht="22.5" customHeight="1" x14ac:dyDescent="0.25">
      <c r="A125" s="125">
        <v>32221</v>
      </c>
      <c r="B125" s="131" t="s">
        <v>160</v>
      </c>
      <c r="C125" s="69">
        <v>0</v>
      </c>
      <c r="D125" s="69">
        <v>0</v>
      </c>
      <c r="E125" s="50">
        <v>1775.81</v>
      </c>
    </row>
    <row r="126" spans="1:7" s="10" customFormat="1" ht="22.5" customHeight="1" x14ac:dyDescent="0.25">
      <c r="A126" s="158">
        <v>32224</v>
      </c>
      <c r="B126" s="12" t="s">
        <v>158</v>
      </c>
      <c r="C126" s="48">
        <f>277619.69+580.2+513.05</f>
        <v>278712.94</v>
      </c>
      <c r="D126" s="48">
        <v>286975.63</v>
      </c>
      <c r="E126" s="51">
        <f>275122.12+17823.01+10035.92-650.16+216.72</f>
        <v>302547.61</v>
      </c>
      <c r="G126" s="6"/>
    </row>
    <row r="127" spans="1:7" s="124" customFormat="1" ht="22.5" customHeight="1" x14ac:dyDescent="0.25">
      <c r="A127" s="159"/>
      <c r="B127" s="12" t="s">
        <v>159</v>
      </c>
      <c r="C127" s="48">
        <v>0</v>
      </c>
      <c r="D127" s="48">
        <v>0</v>
      </c>
      <c r="E127" s="51">
        <v>15671.46</v>
      </c>
      <c r="G127" s="6"/>
    </row>
    <row r="128" spans="1:7" s="10" customFormat="1" ht="22.5" customHeight="1" x14ac:dyDescent="0.25">
      <c r="A128" s="76">
        <v>32225</v>
      </c>
      <c r="B128" s="12" t="s">
        <v>39</v>
      </c>
      <c r="C128" s="48">
        <f>3392.4+2836.43</f>
        <v>6228.83</v>
      </c>
      <c r="D128" s="48">
        <v>2864.96</v>
      </c>
      <c r="E128" s="51">
        <v>4534.2</v>
      </c>
    </row>
    <row r="129" spans="1:6" s="1" customFormat="1" ht="22.5" customHeight="1" x14ac:dyDescent="0.25">
      <c r="A129" s="160">
        <v>3223</v>
      </c>
      <c r="B129" s="12" t="s">
        <v>30</v>
      </c>
      <c r="C129" s="48">
        <f>116103.97+46368.48</f>
        <v>162472.45000000001</v>
      </c>
      <c r="D129" s="48">
        <f>99782.52+38006.7</f>
        <v>137789.22</v>
      </c>
      <c r="E129" s="51">
        <v>144601.93</v>
      </c>
    </row>
    <row r="130" spans="1:6" s="1" customFormat="1" ht="22.5" customHeight="1" x14ac:dyDescent="0.25">
      <c r="A130" s="160"/>
      <c r="B130" s="12" t="s">
        <v>31</v>
      </c>
      <c r="C130" s="48">
        <f>67633.5+28276.36</f>
        <v>95909.86</v>
      </c>
      <c r="D130" s="48">
        <f>64581.05+26899.54</f>
        <v>91480.59</v>
      </c>
      <c r="E130" s="51">
        <v>100445.44</v>
      </c>
    </row>
    <row r="131" spans="1:6" s="124" customFormat="1" ht="22.5" customHeight="1" x14ac:dyDescent="0.25">
      <c r="A131" s="127">
        <v>32234</v>
      </c>
      <c r="B131" s="12" t="s">
        <v>161</v>
      </c>
      <c r="C131" s="48">
        <v>492.32</v>
      </c>
      <c r="D131" s="48">
        <v>149.93</v>
      </c>
      <c r="E131" s="51">
        <v>512.02</v>
      </c>
    </row>
    <row r="132" spans="1:6" s="1" customFormat="1" ht="22.5" customHeight="1" x14ac:dyDescent="0.25">
      <c r="A132" s="76">
        <v>3224</v>
      </c>
      <c r="B132" s="12" t="s">
        <v>40</v>
      </c>
      <c r="C132" s="48">
        <f>630.6+861.71</f>
        <v>1492.31</v>
      </c>
      <c r="D132" s="48">
        <f>512.3+9200.75+1720+336</f>
        <v>11769.05</v>
      </c>
      <c r="E132" s="51">
        <f>29252.94-579.2-13187.75</f>
        <v>15485.989999999998</v>
      </c>
    </row>
    <row r="133" spans="1:6" s="10" customFormat="1" ht="22.5" customHeight="1" x14ac:dyDescent="0.25">
      <c r="A133" s="76">
        <v>322421</v>
      </c>
      <c r="B133" s="30" t="s">
        <v>41</v>
      </c>
      <c r="C133" s="48">
        <v>1665.13</v>
      </c>
      <c r="D133" s="48">
        <v>1376.68</v>
      </c>
      <c r="E133" s="51">
        <v>579.20000000000005</v>
      </c>
    </row>
    <row r="134" spans="1:6" s="49" customFormat="1" ht="22.5" customHeight="1" x14ac:dyDescent="0.25">
      <c r="A134" s="76">
        <v>322422</v>
      </c>
      <c r="B134" s="30" t="s">
        <v>95</v>
      </c>
      <c r="C134" s="48">
        <f>2969+7218.75</f>
        <v>10187.75</v>
      </c>
      <c r="D134" s="48">
        <f>2852.95+6875</f>
        <v>9727.9500000000007</v>
      </c>
      <c r="E134" s="51">
        <v>13187.75</v>
      </c>
    </row>
    <row r="135" spans="1:6" s="10" customFormat="1" ht="22.5" customHeight="1" x14ac:dyDescent="0.25">
      <c r="A135" s="76">
        <v>3225</v>
      </c>
      <c r="B135" s="12" t="s">
        <v>32</v>
      </c>
      <c r="C135" s="48">
        <f>4018.23</f>
        <v>4018.23</v>
      </c>
      <c r="D135" s="48">
        <f>2240.92+1087.31</f>
        <v>3328.23</v>
      </c>
      <c r="E135" s="51">
        <v>2450.5300000000002</v>
      </c>
    </row>
    <row r="136" spans="1:6" s="10" customFormat="1" ht="22.5" customHeight="1" x14ac:dyDescent="0.25">
      <c r="A136" s="76">
        <v>32253</v>
      </c>
      <c r="B136" s="12" t="s">
        <v>162</v>
      </c>
      <c r="C136" s="48">
        <v>269.95</v>
      </c>
      <c r="D136" s="48">
        <v>4039.4</v>
      </c>
      <c r="E136" s="51">
        <v>5941.14</v>
      </c>
    </row>
    <row r="137" spans="1:6" s="1" customFormat="1" ht="22.5" customHeight="1" thickBot="1" x14ac:dyDescent="0.3">
      <c r="A137" s="16">
        <v>32271</v>
      </c>
      <c r="B137" s="17" t="s">
        <v>42</v>
      </c>
      <c r="C137" s="18">
        <v>2679.51</v>
      </c>
      <c r="D137" s="18">
        <v>2807.49</v>
      </c>
      <c r="E137" s="53">
        <v>2422.4899999999998</v>
      </c>
    </row>
    <row r="138" spans="1:6" s="1" customFormat="1" ht="22.5" customHeight="1" thickBot="1" x14ac:dyDescent="0.3">
      <c r="A138" s="152" t="s">
        <v>43</v>
      </c>
      <c r="B138" s="153"/>
      <c r="C138" s="107">
        <f>SUM(C118:C137)</f>
        <v>613432.15</v>
      </c>
      <c r="D138" s="107">
        <f>SUM(D118:D137)</f>
        <v>598122.39000000013</v>
      </c>
      <c r="E138" s="118">
        <f>SUM(E118:E137)</f>
        <v>657957.46000000008</v>
      </c>
    </row>
    <row r="139" spans="1:6" s="1" customFormat="1" ht="16.5" customHeight="1" thickBot="1" x14ac:dyDescent="0.3">
      <c r="A139" s="62"/>
      <c r="B139" s="7"/>
      <c r="C139" s="8"/>
      <c r="D139" s="8"/>
      <c r="E139" s="7"/>
      <c r="F139" s="7"/>
    </row>
    <row r="140" spans="1:6" s="1" customFormat="1" ht="22.5" customHeight="1" thickBot="1" x14ac:dyDescent="0.3">
      <c r="A140" s="152" t="s">
        <v>44</v>
      </c>
      <c r="B140" s="154"/>
      <c r="C140" s="137" t="s">
        <v>99</v>
      </c>
      <c r="D140" s="137" t="s">
        <v>105</v>
      </c>
      <c r="E140" s="117" t="s">
        <v>130</v>
      </c>
    </row>
    <row r="141" spans="1:6" s="1" customFormat="1" ht="22.5" customHeight="1" x14ac:dyDescent="0.25">
      <c r="A141" s="139">
        <v>32311</v>
      </c>
      <c r="B141" s="5" t="s">
        <v>45</v>
      </c>
      <c r="C141" s="69">
        <v>8988.4699999999993</v>
      </c>
      <c r="D141" s="95">
        <v>6900.38</v>
      </c>
      <c r="E141" s="98">
        <v>6808.9</v>
      </c>
    </row>
    <row r="142" spans="1:6" s="1" customFormat="1" ht="22.5" customHeight="1" x14ac:dyDescent="0.25">
      <c r="A142" s="140">
        <v>32312</v>
      </c>
      <c r="B142" s="12" t="s">
        <v>46</v>
      </c>
      <c r="C142" s="48">
        <v>3687.95</v>
      </c>
      <c r="D142" s="96">
        <v>2588.86</v>
      </c>
      <c r="E142" s="99">
        <v>0</v>
      </c>
    </row>
    <row r="143" spans="1:6" s="1" customFormat="1" ht="22.5" customHeight="1" x14ac:dyDescent="0.25">
      <c r="A143" s="140">
        <v>32313</v>
      </c>
      <c r="B143" s="12" t="s">
        <v>47</v>
      </c>
      <c r="C143" s="48">
        <v>3312.76</v>
      </c>
      <c r="D143" s="96">
        <v>3529.1</v>
      </c>
      <c r="E143" s="99">
        <v>3805.45</v>
      </c>
    </row>
    <row r="144" spans="1:6" s="124" customFormat="1" ht="22.5" customHeight="1" x14ac:dyDescent="0.25">
      <c r="A144" s="140">
        <v>32314</v>
      </c>
      <c r="B144" s="12" t="s">
        <v>163</v>
      </c>
      <c r="C144" s="48">
        <v>0</v>
      </c>
      <c r="D144" s="96">
        <v>0</v>
      </c>
      <c r="E144" s="99">
        <v>1450</v>
      </c>
    </row>
    <row r="145" spans="1:5" s="1" customFormat="1" ht="22.5" customHeight="1" x14ac:dyDescent="0.25">
      <c r="A145" s="140">
        <v>32315</v>
      </c>
      <c r="B145" s="12" t="s">
        <v>48</v>
      </c>
      <c r="C145" s="48">
        <v>1736.82</v>
      </c>
      <c r="D145" s="96">
        <v>2227.94</v>
      </c>
      <c r="E145" s="99">
        <v>2074.7199999999998</v>
      </c>
    </row>
    <row r="146" spans="1:5" s="124" customFormat="1" ht="22.5" customHeight="1" thickBot="1" x14ac:dyDescent="0.3">
      <c r="A146" s="16">
        <v>32319</v>
      </c>
      <c r="B146" s="17" t="s">
        <v>164</v>
      </c>
      <c r="C146" s="18">
        <v>0</v>
      </c>
      <c r="D146" s="147">
        <v>0</v>
      </c>
      <c r="E146" s="100">
        <v>152</v>
      </c>
    </row>
    <row r="147" spans="1:5" s="49" customFormat="1" ht="22.5" customHeight="1" x14ac:dyDescent="0.25">
      <c r="A147" s="9">
        <v>323211</v>
      </c>
      <c r="B147" s="75" t="s">
        <v>49</v>
      </c>
      <c r="C147" s="44">
        <f>9480.12+19510.01+5776.97</f>
        <v>34767.1</v>
      </c>
      <c r="D147" s="148">
        <f>4707.5+30120.55+5873.64</f>
        <v>40701.69</v>
      </c>
      <c r="E147" s="98">
        <f>32417.37</f>
        <v>32417.37</v>
      </c>
    </row>
    <row r="148" spans="1:5" s="124" customFormat="1" ht="22.5" customHeight="1" x14ac:dyDescent="0.25">
      <c r="A148" s="138">
        <v>32332</v>
      </c>
      <c r="B148" s="4" t="s">
        <v>165</v>
      </c>
      <c r="C148" s="68">
        <v>0</v>
      </c>
      <c r="D148" s="97">
        <v>0</v>
      </c>
      <c r="E148" s="102">
        <v>2846.25</v>
      </c>
    </row>
    <row r="149" spans="1:5" s="1" customFormat="1" ht="22.5" customHeight="1" x14ac:dyDescent="0.25">
      <c r="A149" s="140">
        <v>32341</v>
      </c>
      <c r="B149" s="12" t="s">
        <v>50</v>
      </c>
      <c r="C149" s="48">
        <f>8514.16+1862.01</f>
        <v>10376.17</v>
      </c>
      <c r="D149" s="96">
        <f>10051.11+2571.91</f>
        <v>12623.02</v>
      </c>
      <c r="E149" s="99">
        <v>18157.580000000002</v>
      </c>
    </row>
    <row r="150" spans="1:5" s="1" customFormat="1" ht="22.5" customHeight="1" x14ac:dyDescent="0.25">
      <c r="A150" s="139">
        <v>32342</v>
      </c>
      <c r="B150" s="5" t="s">
        <v>92</v>
      </c>
      <c r="C150" s="69">
        <v>11100</v>
      </c>
      <c r="D150" s="95">
        <v>10197.6</v>
      </c>
      <c r="E150" s="101">
        <v>10197.6</v>
      </c>
    </row>
    <row r="151" spans="1:5" s="74" customFormat="1" ht="22.5" customHeight="1" x14ac:dyDescent="0.25">
      <c r="A151" s="140">
        <v>32343</v>
      </c>
      <c r="B151" s="12" t="s">
        <v>102</v>
      </c>
      <c r="C151" s="48">
        <v>1875</v>
      </c>
      <c r="D151" s="96">
        <v>0</v>
      </c>
      <c r="E151" s="99">
        <v>0</v>
      </c>
    </row>
    <row r="152" spans="1:5" s="1" customFormat="1" ht="22.5" customHeight="1" x14ac:dyDescent="0.25">
      <c r="A152" s="140">
        <v>32344</v>
      </c>
      <c r="B152" s="12" t="s">
        <v>51</v>
      </c>
      <c r="C152" s="48">
        <v>2887.5</v>
      </c>
      <c r="D152" s="96">
        <v>4262.5</v>
      </c>
      <c r="E152" s="99">
        <v>4375</v>
      </c>
    </row>
    <row r="153" spans="1:5" s="1" customFormat="1" ht="22.5" customHeight="1" x14ac:dyDescent="0.25">
      <c r="A153" s="140">
        <v>32349</v>
      </c>
      <c r="B153" s="12" t="s">
        <v>52</v>
      </c>
      <c r="C153" s="48">
        <v>1560</v>
      </c>
      <c r="D153" s="96">
        <v>1592.5</v>
      </c>
      <c r="E153" s="99">
        <f>5470-3594.6</f>
        <v>1875.4</v>
      </c>
    </row>
    <row r="154" spans="1:5" s="49" customFormat="1" ht="22.5" customHeight="1" x14ac:dyDescent="0.25">
      <c r="A154" s="140">
        <v>323491</v>
      </c>
      <c r="B154" s="12" t="s">
        <v>93</v>
      </c>
      <c r="C154" s="48">
        <v>3594.6</v>
      </c>
      <c r="D154" s="96">
        <v>3594.6</v>
      </c>
      <c r="E154" s="99">
        <v>3594.6</v>
      </c>
    </row>
    <row r="155" spans="1:5" s="1" customFormat="1" ht="22.5" customHeight="1" x14ac:dyDescent="0.25">
      <c r="A155" s="140">
        <v>32361</v>
      </c>
      <c r="B155" s="12" t="s">
        <v>94</v>
      </c>
      <c r="C155" s="48">
        <v>711</v>
      </c>
      <c r="D155" s="96">
        <v>5593.26</v>
      </c>
      <c r="E155" s="99">
        <v>0</v>
      </c>
    </row>
    <row r="156" spans="1:5" s="49" customFormat="1" ht="22.5" customHeight="1" x14ac:dyDescent="0.25">
      <c r="A156" s="140">
        <v>32363</v>
      </c>
      <c r="B156" s="12" t="s">
        <v>53</v>
      </c>
      <c r="C156" s="48">
        <v>4020.92</v>
      </c>
      <c r="D156" s="96">
        <v>3449</v>
      </c>
      <c r="E156" s="99">
        <v>4073</v>
      </c>
    </row>
    <row r="157" spans="1:5" s="1" customFormat="1" ht="22.5" customHeight="1" x14ac:dyDescent="0.25">
      <c r="A157" s="140">
        <v>32372</v>
      </c>
      <c r="B157" s="12" t="s">
        <v>103</v>
      </c>
      <c r="C157" s="48">
        <v>433.44</v>
      </c>
      <c r="D157" s="96">
        <v>0</v>
      </c>
      <c r="E157" s="99">
        <v>0</v>
      </c>
    </row>
    <row r="158" spans="1:5" s="49" customFormat="1" ht="22.5" customHeight="1" x14ac:dyDescent="0.25">
      <c r="A158" s="139">
        <v>32377</v>
      </c>
      <c r="B158" s="5" t="s">
        <v>104</v>
      </c>
      <c r="C158" s="69">
        <f>1922.83+2100</f>
        <v>4022.83</v>
      </c>
      <c r="D158" s="95">
        <v>500</v>
      </c>
      <c r="E158" s="101">
        <v>0</v>
      </c>
    </row>
    <row r="159" spans="1:5" s="1" customFormat="1" ht="22.5" customHeight="1" x14ac:dyDescent="0.25">
      <c r="A159" s="140">
        <v>3238</v>
      </c>
      <c r="B159" s="12" t="s">
        <v>54</v>
      </c>
      <c r="C159" s="48">
        <v>6187.5</v>
      </c>
      <c r="D159" s="96">
        <v>8350</v>
      </c>
      <c r="E159" s="99">
        <f>6247.5-50</f>
        <v>6197.5</v>
      </c>
    </row>
    <row r="160" spans="1:5" s="1" customFormat="1" ht="22.5" customHeight="1" x14ac:dyDescent="0.25">
      <c r="A160" s="139">
        <v>32389</v>
      </c>
      <c r="B160" s="5" t="s">
        <v>55</v>
      </c>
      <c r="C160" s="69">
        <v>0</v>
      </c>
      <c r="D160" s="95">
        <v>0</v>
      </c>
      <c r="E160" s="101">
        <v>0</v>
      </c>
    </row>
    <row r="161" spans="1:7" s="1" customFormat="1" ht="22.5" customHeight="1" thickBot="1" x14ac:dyDescent="0.3">
      <c r="A161" s="138">
        <v>3239</v>
      </c>
      <c r="B161" s="4" t="s">
        <v>56</v>
      </c>
      <c r="C161" s="18">
        <f>346.5+1181.02</f>
        <v>1527.52</v>
      </c>
      <c r="D161" s="97">
        <v>1861.02</v>
      </c>
      <c r="E161" s="100">
        <f>1893+1909.38</f>
        <v>3802.38</v>
      </c>
    </row>
    <row r="162" spans="1:7" s="1" customFormat="1" ht="22.5" customHeight="1" thickBot="1" x14ac:dyDescent="0.3">
      <c r="A162" s="152" t="s">
        <v>57</v>
      </c>
      <c r="B162" s="153"/>
      <c r="C162" s="107">
        <f>SUM(C141:C161)</f>
        <v>100789.58</v>
      </c>
      <c r="D162" s="106">
        <f>SUM(D141:D161)</f>
        <v>107971.47000000002</v>
      </c>
      <c r="E162" s="113">
        <f>SUM(E141:E161)</f>
        <v>101827.75</v>
      </c>
    </row>
    <row r="163" spans="1:7" s="1" customFormat="1" ht="36" customHeight="1" thickBot="1" x14ac:dyDescent="0.3">
      <c r="A163" s="7"/>
      <c r="B163" s="7"/>
      <c r="C163" s="8"/>
      <c r="D163" s="8"/>
    </row>
    <row r="164" spans="1:7" s="1" customFormat="1" ht="25.5" customHeight="1" thickBot="1" x14ac:dyDescent="0.3">
      <c r="A164" s="156" t="s">
        <v>58</v>
      </c>
      <c r="B164" s="157"/>
      <c r="C164" s="110" t="s">
        <v>99</v>
      </c>
      <c r="D164" s="110" t="s">
        <v>105</v>
      </c>
      <c r="E164" s="117" t="s">
        <v>130</v>
      </c>
    </row>
    <row r="165" spans="1:7" s="1" customFormat="1" ht="26.25" customHeight="1" x14ac:dyDescent="0.25">
      <c r="A165" s="36">
        <v>3294</v>
      </c>
      <c r="B165" s="5" t="s">
        <v>59</v>
      </c>
      <c r="C165" s="69">
        <f>950+300</f>
        <v>1250</v>
      </c>
      <c r="D165" s="95">
        <f>1709.38+300</f>
        <v>2009.38</v>
      </c>
      <c r="E165" s="98">
        <v>1400</v>
      </c>
    </row>
    <row r="166" spans="1:7" s="1" customFormat="1" ht="24" customHeight="1" x14ac:dyDescent="0.25">
      <c r="A166" s="3">
        <v>3431</v>
      </c>
      <c r="B166" s="12" t="s">
        <v>78</v>
      </c>
      <c r="C166" s="48">
        <v>2247.52</v>
      </c>
      <c r="D166" s="96">
        <v>1940.45</v>
      </c>
      <c r="E166" s="99">
        <v>1768.41</v>
      </c>
    </row>
    <row r="167" spans="1:7" s="35" customFormat="1" ht="24" customHeight="1" x14ac:dyDescent="0.25">
      <c r="A167" s="3">
        <v>34349</v>
      </c>
      <c r="B167" s="12" t="s">
        <v>60</v>
      </c>
      <c r="C167" s="48">
        <f>3983.87+1116</f>
        <v>5099.87</v>
      </c>
      <c r="D167" s="96">
        <f>1558.08+535.5+1980+483.29</f>
        <v>4556.87</v>
      </c>
      <c r="E167" s="99">
        <v>6302.97</v>
      </c>
    </row>
    <row r="168" spans="1:7" s="35" customFormat="1" ht="24" customHeight="1" x14ac:dyDescent="0.25">
      <c r="A168" s="3">
        <v>3299</v>
      </c>
      <c r="B168" s="12" t="s">
        <v>86</v>
      </c>
      <c r="C168" s="48">
        <v>0</v>
      </c>
      <c r="D168" s="96">
        <v>3000</v>
      </c>
      <c r="E168" s="99">
        <v>14140</v>
      </c>
    </row>
    <row r="169" spans="1:7" s="49" customFormat="1" ht="24" customHeight="1" x14ac:dyDescent="0.25">
      <c r="A169" s="25">
        <v>3299</v>
      </c>
      <c r="B169" s="37" t="s">
        <v>96</v>
      </c>
      <c r="C169" s="68">
        <v>0</v>
      </c>
      <c r="D169" s="97">
        <v>0</v>
      </c>
      <c r="E169" s="102">
        <f>3812.5+2293.31+45</f>
        <v>6150.8099999999995</v>
      </c>
    </row>
    <row r="170" spans="1:7" s="1" customFormat="1" ht="25.5" customHeight="1" x14ac:dyDescent="0.25">
      <c r="A170" s="25">
        <v>32921</v>
      </c>
      <c r="B170" s="4" t="s">
        <v>61</v>
      </c>
      <c r="C170" s="68">
        <v>11190</v>
      </c>
      <c r="D170" s="97">
        <v>11160</v>
      </c>
      <c r="E170" s="102">
        <v>11520</v>
      </c>
    </row>
    <row r="171" spans="1:7" s="1" customFormat="1" ht="24" customHeight="1" x14ac:dyDescent="0.25">
      <c r="A171" s="3">
        <v>32991</v>
      </c>
      <c r="B171" s="12" t="s">
        <v>87</v>
      </c>
      <c r="C171" s="48">
        <v>950</v>
      </c>
      <c r="D171" s="96">
        <f>286.35+1200</f>
        <v>1486.35</v>
      </c>
      <c r="E171" s="99">
        <v>618</v>
      </c>
    </row>
    <row r="172" spans="1:7" s="35" customFormat="1" ht="24" customHeight="1" x14ac:dyDescent="0.25">
      <c r="A172" s="25">
        <v>32960</v>
      </c>
      <c r="B172" s="59" t="s">
        <v>97</v>
      </c>
      <c r="C172" s="68">
        <v>3648</v>
      </c>
      <c r="D172" s="97">
        <v>3756</v>
      </c>
      <c r="E172" s="102">
        <v>3636</v>
      </c>
    </row>
    <row r="173" spans="1:7" s="86" customFormat="1" ht="24" customHeight="1" x14ac:dyDescent="0.25">
      <c r="A173" s="85">
        <v>3299018</v>
      </c>
      <c r="B173" s="59" t="s">
        <v>166</v>
      </c>
      <c r="C173" s="68">
        <v>0</v>
      </c>
      <c r="D173" s="97">
        <v>2517.4</v>
      </c>
      <c r="E173" s="102">
        <v>600</v>
      </c>
    </row>
    <row r="174" spans="1:7" s="1" customFormat="1" ht="25.5" customHeight="1" thickBot="1" x14ac:dyDescent="0.3">
      <c r="A174" s="25">
        <v>34333</v>
      </c>
      <c r="B174" s="4" t="s">
        <v>98</v>
      </c>
      <c r="C174" s="68">
        <v>2.34</v>
      </c>
      <c r="D174" s="97">
        <v>0</v>
      </c>
      <c r="E174" s="102">
        <v>8.0399999999999991</v>
      </c>
    </row>
    <row r="175" spans="1:7" s="1" customFormat="1" ht="24.75" customHeight="1" thickBot="1" x14ac:dyDescent="0.3">
      <c r="A175" s="156" t="s">
        <v>67</v>
      </c>
      <c r="B175" s="157"/>
      <c r="C175" s="107">
        <f>SUM(C165:C174)</f>
        <v>24387.73</v>
      </c>
      <c r="D175" s="107">
        <f>SUM(D165:D174)</f>
        <v>30426.45</v>
      </c>
      <c r="E175" s="113">
        <f>SUM(E165:E174)</f>
        <v>46144.23</v>
      </c>
    </row>
    <row r="176" spans="1:7" s="35" customFormat="1" ht="24.75" customHeight="1" thickBot="1" x14ac:dyDescent="0.3">
      <c r="A176" s="22"/>
      <c r="B176" s="22"/>
      <c r="C176" s="23"/>
      <c r="D176" s="23"/>
      <c r="E176" s="38"/>
      <c r="G176" s="6"/>
    </row>
    <row r="177" spans="1:7" s="35" customFormat="1" ht="24.75" customHeight="1" thickBot="1" x14ac:dyDescent="0.3">
      <c r="A177" s="156" t="s">
        <v>68</v>
      </c>
      <c r="B177" s="157"/>
      <c r="C177" s="107">
        <f>C99+C106+C115+C138+C162+C175</f>
        <v>6534624.5300000003</v>
      </c>
      <c r="D177" s="107">
        <f>D99+D106+D115+D138+D162+D175</f>
        <v>6666090.4299999997</v>
      </c>
      <c r="E177" s="112">
        <f>E99+E106+E115+E138+E162+E175</f>
        <v>6967210.2700000005</v>
      </c>
    </row>
    <row r="178" spans="1:7" s="19" customFormat="1" ht="57" customHeight="1" thickBot="1" x14ac:dyDescent="0.3">
      <c r="A178" s="151"/>
      <c r="B178" s="151"/>
      <c r="C178" s="151"/>
      <c r="D178" s="151"/>
      <c r="E178" s="151"/>
      <c r="F178" s="151"/>
      <c r="G178" s="151"/>
    </row>
    <row r="179" spans="1:7" s="19" customFormat="1" ht="22.5" customHeight="1" thickBot="1" x14ac:dyDescent="0.3">
      <c r="A179" s="152" t="s">
        <v>69</v>
      </c>
      <c r="B179" s="154"/>
      <c r="C179" s="110" t="s">
        <v>99</v>
      </c>
      <c r="D179" s="110" t="s">
        <v>105</v>
      </c>
      <c r="E179" s="117" t="s">
        <v>130</v>
      </c>
    </row>
    <row r="180" spans="1:7" s="20" customFormat="1" ht="22.5" customHeight="1" x14ac:dyDescent="0.25">
      <c r="A180" s="184">
        <v>42211</v>
      </c>
      <c r="B180" s="89" t="s">
        <v>167</v>
      </c>
      <c r="C180" s="176">
        <v>80397.09</v>
      </c>
      <c r="D180" s="176">
        <v>162393.76</v>
      </c>
      <c r="E180" s="90">
        <f>397.99+684</f>
        <v>1081.99</v>
      </c>
    </row>
    <row r="181" spans="1:7" s="20" customFormat="1" ht="22.5" customHeight="1" x14ac:dyDescent="0.25">
      <c r="A181" s="185"/>
      <c r="B181" s="21" t="s">
        <v>168</v>
      </c>
      <c r="C181" s="176"/>
      <c r="D181" s="176"/>
      <c r="E181" s="39">
        <f>3160.01+2750</f>
        <v>5910.01</v>
      </c>
    </row>
    <row r="182" spans="1:7" s="20" customFormat="1" ht="22.5" customHeight="1" x14ac:dyDescent="0.25">
      <c r="A182" s="185"/>
      <c r="B182" s="21" t="s">
        <v>169</v>
      </c>
      <c r="C182" s="176"/>
      <c r="D182" s="176"/>
      <c r="E182" s="39">
        <v>39000</v>
      </c>
    </row>
    <row r="183" spans="1:7" s="20" customFormat="1" ht="22.5" customHeight="1" x14ac:dyDescent="0.25">
      <c r="A183" s="185"/>
      <c r="B183" s="21" t="s">
        <v>170</v>
      </c>
      <c r="C183" s="176"/>
      <c r="D183" s="176"/>
      <c r="E183" s="39">
        <f>3237.96+3929.5</f>
        <v>7167.46</v>
      </c>
    </row>
    <row r="184" spans="1:7" s="20" customFormat="1" ht="22.5" customHeight="1" x14ac:dyDescent="0.25">
      <c r="A184" s="182">
        <v>42212</v>
      </c>
      <c r="B184" s="21" t="s">
        <v>171</v>
      </c>
      <c r="C184" s="176"/>
      <c r="D184" s="176"/>
      <c r="E184" s="39">
        <v>1111.25</v>
      </c>
    </row>
    <row r="185" spans="1:7" s="20" customFormat="1" ht="22.5" customHeight="1" x14ac:dyDescent="0.25">
      <c r="A185" s="183"/>
      <c r="B185" s="21" t="s">
        <v>172</v>
      </c>
      <c r="C185" s="176"/>
      <c r="D185" s="176"/>
      <c r="E185" s="39">
        <v>9730</v>
      </c>
    </row>
    <row r="186" spans="1:7" s="20" customFormat="1" ht="22.5" customHeight="1" x14ac:dyDescent="0.25">
      <c r="A186" s="183"/>
      <c r="B186" s="21" t="s">
        <v>173</v>
      </c>
      <c r="C186" s="176"/>
      <c r="D186" s="176"/>
      <c r="E186" s="39">
        <v>16145.75</v>
      </c>
    </row>
    <row r="187" spans="1:7" s="20" customFormat="1" ht="22.5" customHeight="1" x14ac:dyDescent="0.25">
      <c r="A187" s="183"/>
      <c r="B187" s="21" t="s">
        <v>174</v>
      </c>
      <c r="C187" s="176"/>
      <c r="D187" s="176"/>
      <c r="E187" s="39">
        <v>2097</v>
      </c>
    </row>
    <row r="188" spans="1:7" s="20" customFormat="1" ht="22.5" customHeight="1" x14ac:dyDescent="0.25">
      <c r="A188" s="184"/>
      <c r="B188" s="21" t="s">
        <v>175</v>
      </c>
      <c r="C188" s="176"/>
      <c r="D188" s="176"/>
      <c r="E188" s="39">
        <v>594.15</v>
      </c>
    </row>
    <row r="189" spans="1:7" s="20" customFormat="1" ht="22.5" customHeight="1" x14ac:dyDescent="0.25">
      <c r="A189" s="182">
        <v>42219</v>
      </c>
      <c r="B189" s="89" t="s">
        <v>176</v>
      </c>
      <c r="C189" s="176"/>
      <c r="D189" s="176"/>
      <c r="E189" s="90">
        <v>94975</v>
      </c>
    </row>
    <row r="190" spans="1:7" s="20" customFormat="1" ht="22.5" customHeight="1" x14ac:dyDescent="0.25">
      <c r="A190" s="184"/>
      <c r="B190" s="89" t="s">
        <v>177</v>
      </c>
      <c r="C190" s="176"/>
      <c r="D190" s="176"/>
      <c r="E190" s="90">
        <v>2125</v>
      </c>
    </row>
    <row r="191" spans="1:7" s="20" customFormat="1" ht="22.5" customHeight="1" x14ac:dyDescent="0.25">
      <c r="A191" s="133">
        <v>42221</v>
      </c>
      <c r="B191" s="89" t="s">
        <v>179</v>
      </c>
      <c r="C191" s="176"/>
      <c r="D191" s="176"/>
      <c r="E191" s="90">
        <f>9599.97+1959.3+2659.3+3900</f>
        <v>18118.57</v>
      </c>
      <c r="G191" s="40"/>
    </row>
    <row r="192" spans="1:7" s="20" customFormat="1" ht="22.5" customHeight="1" x14ac:dyDescent="0.25">
      <c r="A192" s="78">
        <v>42222</v>
      </c>
      <c r="B192" s="60" t="s">
        <v>180</v>
      </c>
      <c r="C192" s="176"/>
      <c r="D192" s="176"/>
      <c r="E192" s="41">
        <v>159</v>
      </c>
    </row>
    <row r="193" spans="1:7" s="20" customFormat="1" ht="22.5" customHeight="1" x14ac:dyDescent="0.25">
      <c r="A193" s="182">
        <v>42231</v>
      </c>
      <c r="B193" s="60" t="s">
        <v>178</v>
      </c>
      <c r="C193" s="176"/>
      <c r="D193" s="176"/>
      <c r="E193" s="41">
        <v>2730.01</v>
      </c>
    </row>
    <row r="194" spans="1:7" s="20" customFormat="1" ht="22.5" customHeight="1" x14ac:dyDescent="0.25">
      <c r="A194" s="184"/>
      <c r="B194" s="60" t="s">
        <v>181</v>
      </c>
      <c r="C194" s="176"/>
      <c r="D194" s="176"/>
      <c r="E194" s="41">
        <v>1499.99</v>
      </c>
    </row>
    <row r="195" spans="1:7" s="20" customFormat="1" ht="22.5" customHeight="1" x14ac:dyDescent="0.25">
      <c r="A195" s="80">
        <v>42232</v>
      </c>
      <c r="B195" s="135" t="s">
        <v>182</v>
      </c>
      <c r="C195" s="176"/>
      <c r="D195" s="176"/>
      <c r="E195" s="41">
        <v>10661.13</v>
      </c>
    </row>
    <row r="196" spans="1:7" s="20" customFormat="1" ht="22.5" customHeight="1" x14ac:dyDescent="0.25">
      <c r="A196" s="182">
        <v>42239</v>
      </c>
      <c r="B196" s="135" t="s">
        <v>183</v>
      </c>
      <c r="C196" s="176"/>
      <c r="D196" s="176"/>
      <c r="E196" s="41">
        <v>1399</v>
      </c>
    </row>
    <row r="197" spans="1:7" s="20" customFormat="1" ht="22.5" customHeight="1" x14ac:dyDescent="0.25">
      <c r="A197" s="184"/>
      <c r="B197" s="60" t="s">
        <v>184</v>
      </c>
      <c r="C197" s="176"/>
      <c r="D197" s="176"/>
      <c r="E197" s="41">
        <v>899</v>
      </c>
    </row>
    <row r="198" spans="1:7" s="20" customFormat="1" ht="22.5" customHeight="1" x14ac:dyDescent="0.25">
      <c r="A198" s="132">
        <v>42252</v>
      </c>
      <c r="B198" s="135" t="s">
        <v>185</v>
      </c>
      <c r="C198" s="176"/>
      <c r="D198" s="176"/>
      <c r="E198" s="41">
        <v>958.5</v>
      </c>
    </row>
    <row r="199" spans="1:7" s="20" customFormat="1" ht="22.5" customHeight="1" x14ac:dyDescent="0.25">
      <c r="A199" s="82">
        <v>42259</v>
      </c>
      <c r="B199" s="60" t="s">
        <v>186</v>
      </c>
      <c r="C199" s="176"/>
      <c r="D199" s="176"/>
      <c r="E199" s="41">
        <v>4374.13</v>
      </c>
    </row>
    <row r="200" spans="1:7" s="20" customFormat="1" ht="22.5" customHeight="1" x14ac:dyDescent="0.25">
      <c r="A200" s="78">
        <v>42262</v>
      </c>
      <c r="B200" s="60" t="s">
        <v>187</v>
      </c>
      <c r="C200" s="176"/>
      <c r="D200" s="176"/>
      <c r="E200" s="41">
        <v>2669.25</v>
      </c>
    </row>
    <row r="201" spans="1:7" s="20" customFormat="1" ht="22.5" customHeight="1" x14ac:dyDescent="0.25">
      <c r="A201" s="82">
        <v>42318</v>
      </c>
      <c r="B201" s="60" t="s">
        <v>188</v>
      </c>
      <c r="C201" s="176"/>
      <c r="D201" s="176"/>
      <c r="E201" s="41">
        <v>1444.96</v>
      </c>
    </row>
    <row r="202" spans="1:7" s="20" customFormat="1" ht="22.5" customHeight="1" x14ac:dyDescent="0.25">
      <c r="A202" s="134">
        <v>42411</v>
      </c>
      <c r="B202" s="60" t="s">
        <v>189</v>
      </c>
      <c r="C202" s="176"/>
      <c r="D202" s="176"/>
      <c r="E202" s="41">
        <v>4000</v>
      </c>
    </row>
    <row r="203" spans="1:7" s="20" customFormat="1" ht="22.5" customHeight="1" x14ac:dyDescent="0.25">
      <c r="A203" s="134">
        <v>42412</v>
      </c>
      <c r="B203" s="60" t="s">
        <v>190</v>
      </c>
      <c r="C203" s="176"/>
      <c r="D203" s="176"/>
      <c r="E203" s="41">
        <v>4977.6400000000003</v>
      </c>
    </row>
    <row r="204" spans="1:7" s="20" customFormat="1" ht="22.5" customHeight="1" thickBot="1" x14ac:dyDescent="0.3">
      <c r="A204" s="78">
        <v>42414</v>
      </c>
      <c r="B204" s="60" t="s">
        <v>191</v>
      </c>
      <c r="C204" s="177"/>
      <c r="D204" s="177"/>
      <c r="E204" s="41">
        <v>5267.04</v>
      </c>
    </row>
    <row r="205" spans="1:7" s="20" customFormat="1" ht="22.5" customHeight="1" thickBot="1" x14ac:dyDescent="0.3">
      <c r="A205" s="156" t="s">
        <v>70</v>
      </c>
      <c r="B205" s="157"/>
      <c r="C205" s="119">
        <f>SUM(C180:C204)</f>
        <v>80397.09</v>
      </c>
      <c r="D205" s="119">
        <f>SUM(D180:D204)</f>
        <v>162393.76</v>
      </c>
      <c r="E205" s="113">
        <f>SUM(E180:E204)</f>
        <v>239095.83000000002</v>
      </c>
      <c r="F205" s="40"/>
    </row>
    <row r="206" spans="1:7" s="20" customFormat="1" ht="22.5" customHeight="1" x14ac:dyDescent="0.25">
      <c r="A206" s="22"/>
      <c r="B206" s="22"/>
      <c r="C206" s="24"/>
      <c r="D206" s="24"/>
    </row>
    <row r="207" spans="1:7" s="20" customFormat="1" ht="22.5" customHeight="1" thickBot="1" x14ac:dyDescent="0.3">
      <c r="A207" s="22"/>
      <c r="B207" s="22"/>
      <c r="C207" s="24"/>
      <c r="D207" s="24"/>
    </row>
    <row r="208" spans="1:7" s="1" customFormat="1" ht="22.5" customHeight="1" thickBot="1" x14ac:dyDescent="0.3">
      <c r="A208" s="152" t="s">
        <v>68</v>
      </c>
      <c r="B208" s="153"/>
      <c r="C208" s="120">
        <f>C205+C177</f>
        <v>6615021.6200000001</v>
      </c>
      <c r="D208" s="107">
        <f>D99+D106+D115+D138+D162+D175+D205</f>
        <v>6828484.1899999995</v>
      </c>
      <c r="E208" s="113">
        <f>E177+E205</f>
        <v>7206306.1000000006</v>
      </c>
      <c r="F208" s="6"/>
      <c r="G208" s="6"/>
    </row>
    <row r="209" spans="1:7" s="1" customFormat="1" ht="126" customHeight="1" thickBot="1" x14ac:dyDescent="0.3">
      <c r="C209" s="2"/>
      <c r="D209" s="2"/>
      <c r="E209" s="6"/>
      <c r="F209" s="6"/>
      <c r="G209" s="6"/>
    </row>
    <row r="210" spans="1:7" s="1" customFormat="1" ht="22.5" customHeight="1" thickBot="1" x14ac:dyDescent="0.3">
      <c r="A210" s="179" t="s">
        <v>71</v>
      </c>
      <c r="B210" s="180"/>
      <c r="C210" s="110" t="s">
        <v>99</v>
      </c>
      <c r="D210" s="110" t="s">
        <v>105</v>
      </c>
      <c r="E210" s="117" t="s">
        <v>130</v>
      </c>
      <c r="F210" s="6"/>
    </row>
    <row r="211" spans="1:7" s="1" customFormat="1" ht="22.5" customHeight="1" x14ac:dyDescent="0.25">
      <c r="A211" s="36">
        <v>6</v>
      </c>
      <c r="B211" s="5" t="s">
        <v>72</v>
      </c>
      <c r="C211" s="34">
        <f>C74</f>
        <v>6643542.3500000006</v>
      </c>
      <c r="D211" s="103">
        <f>D74</f>
        <v>6841663.879999998</v>
      </c>
      <c r="E211" s="54">
        <f>E74</f>
        <v>7146840.5299999993</v>
      </c>
    </row>
    <row r="212" spans="1:7" s="1" customFormat="1" ht="22.5" customHeight="1" thickBot="1" x14ac:dyDescent="0.3">
      <c r="A212" s="77">
        <v>3</v>
      </c>
      <c r="B212" s="4" t="s">
        <v>73</v>
      </c>
      <c r="C212" s="33">
        <f>C177</f>
        <v>6534624.5300000003</v>
      </c>
      <c r="D212" s="56">
        <f>D177</f>
        <v>6666090.4299999997</v>
      </c>
      <c r="E212" s="55">
        <f>E177</f>
        <v>6967210.2700000005</v>
      </c>
    </row>
    <row r="213" spans="1:7" s="43" customFormat="1" ht="22.5" customHeight="1" thickBot="1" x14ac:dyDescent="0.3">
      <c r="A213" s="121" t="s">
        <v>88</v>
      </c>
      <c r="B213" s="110" t="s">
        <v>74</v>
      </c>
      <c r="C213" s="107">
        <f>C211-C212</f>
        <v>108917.8200000003</v>
      </c>
      <c r="D213" s="106">
        <f>D211-D212</f>
        <v>175573.44999999832</v>
      </c>
      <c r="E213" s="113">
        <f>E211-E212</f>
        <v>179630.25999999885</v>
      </c>
    </row>
    <row r="214" spans="1:7" s="43" customFormat="1" ht="22.5" customHeight="1" thickBot="1" x14ac:dyDescent="0.3">
      <c r="A214" s="9">
        <v>4</v>
      </c>
      <c r="B214" s="47" t="s">
        <v>89</v>
      </c>
      <c r="C214" s="44">
        <f>C205</f>
        <v>80397.09</v>
      </c>
      <c r="D214" s="45">
        <f>D205</f>
        <v>162393.76</v>
      </c>
      <c r="E214" s="46">
        <f>E205</f>
        <v>239095.83000000002</v>
      </c>
    </row>
    <row r="215" spans="1:7" s="1" customFormat="1" ht="22.5" customHeight="1" thickBot="1" x14ac:dyDescent="0.3">
      <c r="A215" s="122" t="s">
        <v>75</v>
      </c>
      <c r="B215" s="110" t="s">
        <v>74</v>
      </c>
      <c r="C215" s="107">
        <f>C213-C214</f>
        <v>28520.730000000302</v>
      </c>
      <c r="D215" s="106">
        <f>D213-D214</f>
        <v>13179.689999998314</v>
      </c>
      <c r="E215" s="113">
        <f>E213-E214</f>
        <v>-59465.570000001171</v>
      </c>
    </row>
    <row r="216" spans="1:7" s="1" customFormat="1" ht="24" customHeight="1" x14ac:dyDescent="0.25">
      <c r="C216" s="2"/>
      <c r="D216" s="2"/>
    </row>
    <row r="217" spans="1:7" s="11" customFormat="1" ht="22.5" customHeight="1" x14ac:dyDescent="0.25">
      <c r="A217" s="181"/>
      <c r="B217" s="181"/>
      <c r="C217" s="181"/>
      <c r="D217" s="181"/>
    </row>
    <row r="218" spans="1:7" s="1" customFormat="1" ht="24" customHeight="1" x14ac:dyDescent="0.25">
      <c r="A218" s="26"/>
      <c r="B218" s="26" t="s">
        <v>79</v>
      </c>
      <c r="C218" s="178" t="s">
        <v>106</v>
      </c>
      <c r="D218" s="178"/>
    </row>
    <row r="219" spans="1:7" s="1" customFormat="1" ht="20.25" customHeight="1" x14ac:dyDescent="0.25">
      <c r="B219" s="27" t="s">
        <v>80</v>
      </c>
      <c r="C219" s="2" t="s">
        <v>107</v>
      </c>
      <c r="D219" s="2"/>
    </row>
    <row r="220" spans="1:7" s="1" customFormat="1" ht="22.5" customHeight="1" x14ac:dyDescent="0.25">
      <c r="C220" s="2"/>
      <c r="D220" s="2"/>
    </row>
    <row r="221" spans="1:7" s="1" customFormat="1" ht="22.5" customHeight="1" x14ac:dyDescent="0.25">
      <c r="C221" s="2"/>
      <c r="D221" s="2"/>
    </row>
    <row r="222" spans="1:7" s="1" customFormat="1" ht="22.5" customHeight="1" x14ac:dyDescent="0.25">
      <c r="C222" s="2"/>
      <c r="D222" s="2"/>
    </row>
    <row r="223" spans="1:7" s="1" customFormat="1" ht="22.5" customHeight="1" x14ac:dyDescent="0.25">
      <c r="C223" s="2"/>
      <c r="D223" s="2"/>
    </row>
    <row r="224" spans="1:7" s="1" customFormat="1" ht="22.5" customHeight="1" x14ac:dyDescent="0.25">
      <c r="C224" s="2"/>
      <c r="D224" s="2"/>
    </row>
    <row r="225" spans="3:4" s="1" customFormat="1" ht="22.5" customHeight="1" x14ac:dyDescent="0.25">
      <c r="C225" s="2"/>
      <c r="D225" s="2"/>
    </row>
    <row r="226" spans="3:4" s="1" customFormat="1" ht="22.5" customHeight="1" x14ac:dyDescent="0.25">
      <c r="C226" s="2"/>
      <c r="D226" s="2"/>
    </row>
    <row r="227" spans="3:4" s="1" customFormat="1" ht="22.5" customHeight="1" x14ac:dyDescent="0.25">
      <c r="C227" s="2"/>
      <c r="D227" s="2"/>
    </row>
    <row r="228" spans="3:4" s="1" customFormat="1" ht="22.5" customHeight="1" x14ac:dyDescent="0.25">
      <c r="C228" s="2"/>
      <c r="D228" s="2"/>
    </row>
    <row r="229" spans="3:4" s="1" customFormat="1" ht="22.5" customHeight="1" x14ac:dyDescent="0.25">
      <c r="C229" s="2"/>
      <c r="D229" s="2"/>
    </row>
    <row r="230" spans="3:4" s="1" customFormat="1" ht="22.5" customHeight="1" x14ac:dyDescent="0.25">
      <c r="C230" s="2"/>
      <c r="D230" s="2"/>
    </row>
    <row r="231" spans="3:4" s="1" customFormat="1" ht="22.5" customHeight="1" x14ac:dyDescent="0.25">
      <c r="C231" s="2"/>
      <c r="D231" s="2"/>
    </row>
    <row r="232" spans="3:4" s="1" customFormat="1" ht="22.5" customHeight="1" x14ac:dyDescent="0.25">
      <c r="C232" s="2"/>
      <c r="D232" s="2"/>
    </row>
    <row r="233" spans="3:4" s="1" customFormat="1" ht="22.5" customHeight="1" x14ac:dyDescent="0.25">
      <c r="C233" s="2"/>
      <c r="D233" s="2"/>
    </row>
    <row r="234" spans="3:4" s="1" customFormat="1" ht="22.5" customHeight="1" x14ac:dyDescent="0.25">
      <c r="C234" s="2"/>
      <c r="D234" s="2"/>
    </row>
    <row r="235" spans="3:4" s="1" customFormat="1" ht="22.5" customHeight="1" x14ac:dyDescent="0.25">
      <c r="C235" s="2"/>
      <c r="D235" s="2"/>
    </row>
    <row r="236" spans="3:4" s="1" customFormat="1" ht="22.5" customHeight="1" x14ac:dyDescent="0.25">
      <c r="C236" s="2"/>
      <c r="D236" s="2"/>
    </row>
    <row r="237" spans="3:4" s="1" customFormat="1" ht="22.5" customHeight="1" x14ac:dyDescent="0.25">
      <c r="C237" s="2"/>
      <c r="D237" s="2"/>
    </row>
    <row r="238" spans="3:4" s="1" customFormat="1" ht="22.5" customHeight="1" x14ac:dyDescent="0.25">
      <c r="C238" s="2"/>
      <c r="D238" s="2"/>
    </row>
    <row r="239" spans="3:4" s="1" customFormat="1" ht="22.5" customHeight="1" x14ac:dyDescent="0.25">
      <c r="C239" s="2"/>
      <c r="D239" s="2"/>
    </row>
    <row r="240" spans="3:4" s="1" customFormat="1" ht="22.5" customHeight="1" x14ac:dyDescent="0.25">
      <c r="C240" s="2"/>
      <c r="D240" s="2"/>
    </row>
    <row r="241" s="1" customFormat="1" ht="22.5" customHeight="1" x14ac:dyDescent="0.25"/>
    <row r="242" s="1" customFormat="1" ht="22.5" customHeight="1" x14ac:dyDescent="0.25"/>
    <row r="243" s="1" customFormat="1" ht="22.5" customHeight="1" x14ac:dyDescent="0.25"/>
    <row r="244" s="1" customFormat="1" ht="22.5" customHeight="1" x14ac:dyDescent="0.25"/>
    <row r="245" s="1" customFormat="1" ht="22.5" customHeight="1" x14ac:dyDescent="0.25"/>
    <row r="246" s="1" customFormat="1" ht="22.5" customHeight="1" x14ac:dyDescent="0.25"/>
    <row r="247" s="1" customFormat="1" ht="22.5" customHeight="1" x14ac:dyDescent="0.25"/>
    <row r="248" s="1" customFormat="1" ht="22.5" customHeight="1" x14ac:dyDescent="0.25"/>
    <row r="249" s="1" customFormat="1" ht="22.5" customHeight="1" x14ac:dyDescent="0.25"/>
    <row r="250" s="1" customFormat="1" ht="22.5" customHeight="1" x14ac:dyDescent="0.25"/>
    <row r="251" s="1" customFormat="1" ht="22.5" customHeight="1" x14ac:dyDescent="0.25"/>
    <row r="252" s="1" customFormat="1" ht="22.5" customHeight="1" x14ac:dyDescent="0.25"/>
    <row r="253" s="1" customFormat="1" ht="22.5" customHeight="1" x14ac:dyDescent="0.25"/>
    <row r="254" s="1" customFormat="1" ht="22.5" customHeight="1" x14ac:dyDescent="0.25"/>
    <row r="255" s="1" customFormat="1" ht="22.5" customHeight="1" x14ac:dyDescent="0.25"/>
    <row r="256" s="1" customFormat="1" ht="22.5" customHeight="1" x14ac:dyDescent="0.25"/>
    <row r="257" s="1" customFormat="1" ht="22.5" customHeight="1" x14ac:dyDescent="0.25"/>
    <row r="258" s="1" customFormat="1" ht="22.5" customHeight="1" x14ac:dyDescent="0.25"/>
    <row r="259" s="1" customFormat="1" ht="22.5" customHeight="1" x14ac:dyDescent="0.25"/>
    <row r="260" s="1" customFormat="1" ht="22.5" customHeight="1" x14ac:dyDescent="0.25"/>
    <row r="261" s="1" customFormat="1" ht="22.5" customHeight="1" x14ac:dyDescent="0.25"/>
    <row r="262" s="1" customFormat="1" ht="22.5" customHeight="1" x14ac:dyDescent="0.25"/>
    <row r="263" s="1" customFormat="1" ht="22.5" customHeight="1" x14ac:dyDescent="0.25"/>
    <row r="264" s="1" customFormat="1" ht="22.5" customHeight="1" x14ac:dyDescent="0.25"/>
    <row r="265" s="1" customFormat="1" ht="22.5" customHeight="1" x14ac:dyDescent="0.25"/>
    <row r="266" s="1" customFormat="1" ht="22.5" customHeight="1" x14ac:dyDescent="0.25"/>
    <row r="267" s="1" customFormat="1" ht="22.5" customHeight="1" x14ac:dyDescent="0.25"/>
    <row r="268" s="1" customFormat="1" ht="22.5" customHeight="1" x14ac:dyDescent="0.25"/>
    <row r="269" s="1" customFormat="1" ht="22.5" customHeight="1" x14ac:dyDescent="0.25"/>
    <row r="270" s="1" customFormat="1" ht="22.5" customHeight="1" x14ac:dyDescent="0.25"/>
    <row r="271" s="1" customFormat="1" ht="22.5" customHeight="1" x14ac:dyDescent="0.25"/>
    <row r="272" s="1" customFormat="1" ht="22.5" customHeight="1" x14ac:dyDescent="0.25"/>
    <row r="273" s="1" customFormat="1" ht="22.5" customHeight="1" x14ac:dyDescent="0.25"/>
    <row r="274" s="1" customFormat="1" ht="22.5" customHeight="1" x14ac:dyDescent="0.25"/>
    <row r="275" s="1" customFormat="1" ht="22.5" customHeight="1" x14ac:dyDescent="0.25"/>
    <row r="276" s="1" customFormat="1" ht="22.5" customHeight="1" x14ac:dyDescent="0.25"/>
    <row r="277" s="1" customFormat="1" ht="22.5" customHeight="1" x14ac:dyDescent="0.25"/>
    <row r="278" s="1" customFormat="1" ht="22.5" customHeight="1" x14ac:dyDescent="0.25"/>
    <row r="279" s="1" customFormat="1" ht="22.5" customHeight="1" x14ac:dyDescent="0.25"/>
    <row r="280" s="1" customFormat="1" ht="22.5" customHeight="1" x14ac:dyDescent="0.25"/>
    <row r="281" s="1" customFormat="1" ht="22.5" customHeight="1" x14ac:dyDescent="0.25"/>
    <row r="282" s="1" customFormat="1" ht="22.5" customHeight="1" x14ac:dyDescent="0.25"/>
    <row r="283" s="1" customFormat="1" ht="22.5" customHeight="1" x14ac:dyDescent="0.25"/>
    <row r="284" s="1" customFormat="1" ht="22.5" customHeight="1" x14ac:dyDescent="0.25"/>
    <row r="285" s="1" customFormat="1" ht="22.5" customHeight="1" x14ac:dyDescent="0.25"/>
    <row r="286" s="1" customFormat="1" ht="22.5" customHeight="1" x14ac:dyDescent="0.25"/>
    <row r="287" s="1" customFormat="1" ht="22.5" customHeight="1" x14ac:dyDescent="0.25"/>
    <row r="288" s="1" customFormat="1" ht="22.5" customHeight="1" x14ac:dyDescent="0.25"/>
    <row r="289" s="1" customFormat="1" ht="22.5" customHeight="1" x14ac:dyDescent="0.25"/>
    <row r="290" s="1" customFormat="1" ht="22.5" customHeight="1" x14ac:dyDescent="0.25"/>
    <row r="291" s="1" customFormat="1" ht="22.5" customHeight="1" x14ac:dyDescent="0.25"/>
    <row r="292" s="1" customFormat="1" ht="22.5" customHeight="1" x14ac:dyDescent="0.25"/>
    <row r="293" s="1" customFormat="1" ht="22.5" customHeight="1" x14ac:dyDescent="0.25"/>
    <row r="294" s="1" customFormat="1" ht="22.5" customHeight="1" x14ac:dyDescent="0.25"/>
    <row r="295" s="1" customFormat="1" ht="22.5" customHeight="1" x14ac:dyDescent="0.25"/>
    <row r="296" s="1" customFormat="1" ht="22.5" customHeight="1" x14ac:dyDescent="0.25"/>
    <row r="297" s="1" customFormat="1" ht="22.5" customHeight="1" x14ac:dyDescent="0.25"/>
    <row r="298" s="1" customFormat="1" ht="22.5" customHeight="1" x14ac:dyDescent="0.25"/>
    <row r="299" s="1" customFormat="1" ht="22.5" customHeight="1" x14ac:dyDescent="0.25"/>
    <row r="300" s="1" customFormat="1" ht="22.5" customHeight="1" x14ac:dyDescent="0.25"/>
    <row r="301" s="1" customFormat="1" ht="22.5" customHeight="1" x14ac:dyDescent="0.25"/>
    <row r="302" s="1" customFormat="1" ht="22.5" customHeight="1" x14ac:dyDescent="0.25"/>
    <row r="303" s="1" customFormat="1" ht="22.5" customHeight="1" x14ac:dyDescent="0.25"/>
    <row r="304" s="1" customFormat="1" ht="22.5" customHeight="1" x14ac:dyDescent="0.25"/>
    <row r="305" s="1" customFormat="1" ht="22.5" customHeight="1" x14ac:dyDescent="0.25"/>
    <row r="306" s="1" customFormat="1" ht="22.5" customHeight="1" x14ac:dyDescent="0.25"/>
    <row r="307" s="1" customFormat="1" ht="22.5" customHeight="1" x14ac:dyDescent="0.25"/>
    <row r="308" s="1" customFormat="1" ht="22.5" customHeight="1" x14ac:dyDescent="0.25"/>
    <row r="309" s="1" customFormat="1" ht="22.5" customHeight="1" x14ac:dyDescent="0.25"/>
    <row r="310" s="1" customFormat="1" ht="22.5" customHeight="1" x14ac:dyDescent="0.25"/>
    <row r="311" s="1" customFormat="1" ht="22.5" customHeight="1" x14ac:dyDescent="0.25"/>
    <row r="312" s="1" customFormat="1" ht="22.5" customHeight="1" x14ac:dyDescent="0.25"/>
    <row r="313" s="1" customFormat="1" ht="22.5" customHeight="1" x14ac:dyDescent="0.25"/>
    <row r="314" s="1" customFormat="1" ht="22.5" customHeight="1" x14ac:dyDescent="0.25"/>
    <row r="315" s="1" customFormat="1" ht="22.5" customHeight="1" x14ac:dyDescent="0.25"/>
    <row r="316" s="1" customFormat="1" ht="22.5" customHeight="1" x14ac:dyDescent="0.25"/>
    <row r="317" s="1" customFormat="1" ht="22.5" customHeight="1" x14ac:dyDescent="0.25"/>
    <row r="318" s="1" customFormat="1" ht="22.5" customHeight="1" x14ac:dyDescent="0.25"/>
  </sheetData>
  <mergeCells count="62">
    <mergeCell ref="A5:E5"/>
    <mergeCell ref="A9:A10"/>
    <mergeCell ref="B9:B10"/>
    <mergeCell ref="A18:B18"/>
    <mergeCell ref="A54:B54"/>
    <mergeCell ref="A7:E7"/>
    <mergeCell ref="C9:E9"/>
    <mergeCell ref="A11:E11"/>
    <mergeCell ref="A34:B34"/>
    <mergeCell ref="A44:B44"/>
    <mergeCell ref="A50:B50"/>
    <mergeCell ref="A52:B52"/>
    <mergeCell ref="A42:B42"/>
    <mergeCell ref="A48:B48"/>
    <mergeCell ref="A20:B20"/>
    <mergeCell ref="A21:A23"/>
    <mergeCell ref="C55:C64"/>
    <mergeCell ref="D55:D64"/>
    <mergeCell ref="C68:C70"/>
    <mergeCell ref="D68:D70"/>
    <mergeCell ref="A74:B74"/>
    <mergeCell ref="A67:B67"/>
    <mergeCell ref="A71:B71"/>
    <mergeCell ref="A65:B65"/>
    <mergeCell ref="D180:D204"/>
    <mergeCell ref="C218:D218"/>
    <mergeCell ref="A205:B205"/>
    <mergeCell ref="A208:B208"/>
    <mergeCell ref="A210:B210"/>
    <mergeCell ref="A217:D217"/>
    <mergeCell ref="A184:A188"/>
    <mergeCell ref="A193:A194"/>
    <mergeCell ref="A180:A183"/>
    <mergeCell ref="C180:C204"/>
    <mergeCell ref="A189:A190"/>
    <mergeCell ref="A196:A197"/>
    <mergeCell ref="C78:E78"/>
    <mergeCell ref="A80:E80"/>
    <mergeCell ref="A102:A105"/>
    <mergeCell ref="A78:A79"/>
    <mergeCell ref="B78:B79"/>
    <mergeCell ref="A99:B99"/>
    <mergeCell ref="A101:B101"/>
    <mergeCell ref="C81:C98"/>
    <mergeCell ref="D81:D98"/>
    <mergeCell ref="A164:B164"/>
    <mergeCell ref="A177:B177"/>
    <mergeCell ref="A179:B179"/>
    <mergeCell ref="A175:B175"/>
    <mergeCell ref="A108:B108"/>
    <mergeCell ref="A117:B117"/>
    <mergeCell ref="A126:A127"/>
    <mergeCell ref="A162:B162"/>
    <mergeCell ref="A140:B140"/>
    <mergeCell ref="A138:B138"/>
    <mergeCell ref="A129:A130"/>
    <mergeCell ref="A115:B115"/>
    <mergeCell ref="A26:B26"/>
    <mergeCell ref="A28:B28"/>
    <mergeCell ref="A32:B32"/>
    <mergeCell ref="A76:B76"/>
    <mergeCell ref="A106:B106"/>
  </mergeCells>
  <pageMargins left="0.33" right="0.14000000000000001" top="0.39" bottom="0.31" header="0.4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2019-01-28T14:50:49Z</cp:lastPrinted>
  <dcterms:created xsi:type="dcterms:W3CDTF">2014-01-20T06:45:34Z</dcterms:created>
  <dcterms:modified xsi:type="dcterms:W3CDTF">2019-01-28T15:06:45Z</dcterms:modified>
</cp:coreProperties>
</file>